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6D78B63B-7B34-4830-B043-4AFA5743FED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1" i="2" l="1"/>
  <c r="L37" i="2"/>
  <c r="L35" i="2"/>
  <c r="L34" i="2"/>
  <c r="L29" i="2"/>
  <c r="L26" i="2"/>
  <c r="L25" i="2"/>
  <c r="L24" i="2"/>
  <c r="L23" i="2"/>
  <c r="L22" i="2"/>
  <c r="L21" i="2"/>
  <c r="L19" i="2"/>
  <c r="L13" i="2"/>
  <c r="L17" i="2"/>
  <c r="I17" i="3"/>
  <c r="K19" i="2"/>
  <c r="K37" i="2"/>
  <c r="K35" i="2"/>
  <c r="K29" i="2"/>
  <c r="K27" i="2"/>
  <c r="K26" i="2"/>
  <c r="K23" i="2"/>
  <c r="K13" i="2"/>
  <c r="K17" i="2"/>
  <c r="E54" i="1"/>
  <c r="H83" i="3"/>
  <c r="J37" i="2"/>
  <c r="J23" i="2"/>
  <c r="J26" i="2"/>
  <c r="J25" i="2"/>
  <c r="J24" i="2"/>
  <c r="J19" i="2"/>
  <c r="J13" i="2"/>
  <c r="J17" i="2"/>
  <c r="I37" i="2"/>
  <c r="I27" i="2"/>
  <c r="I26" i="2"/>
  <c r="I23" i="2"/>
  <c r="I21" i="2"/>
  <c r="I19" i="2"/>
  <c r="I13" i="2"/>
  <c r="I17" i="2"/>
  <c r="H54" i="2"/>
  <c r="F52" i="3"/>
  <c r="F24" i="3"/>
  <c r="F23" i="3"/>
  <c r="F21" i="3"/>
  <c r="F17" i="3"/>
  <c r="F11" i="3"/>
  <c r="G26" i="2"/>
  <c r="G23" i="2"/>
  <c r="G19" i="2"/>
  <c r="G37" i="2"/>
  <c r="G35" i="2"/>
  <c r="G31" i="2"/>
  <c r="G27" i="2"/>
  <c r="G24" i="2"/>
  <c r="G13" i="2"/>
  <c r="G17" i="2"/>
  <c r="D52" i="3" l="1"/>
  <c r="F37" i="2"/>
  <c r="F35" i="2"/>
  <c r="F34" i="2"/>
  <c r="F26" i="2"/>
  <c r="F25" i="2"/>
  <c r="F19" i="2"/>
  <c r="C54" i="2"/>
  <c r="F13" i="2"/>
  <c r="F17" i="2"/>
  <c r="D26" i="2"/>
  <c r="E26" i="2"/>
  <c r="E25" i="2"/>
  <c r="E19" i="2"/>
  <c r="E18" i="2" s="1"/>
  <c r="E17" i="2"/>
  <c r="D19" i="2" l="1"/>
  <c r="D13" i="2"/>
  <c r="D17" i="2"/>
  <c r="L52" i="3"/>
  <c r="M18" i="2"/>
  <c r="I52" i="3"/>
  <c r="H18" i="2" l="1"/>
  <c r="E16" i="3"/>
  <c r="E83" i="3" s="1"/>
  <c r="P62" i="2" l="1"/>
  <c r="F54" i="2"/>
  <c r="E52" i="3"/>
  <c r="D26" i="3"/>
  <c r="C26" i="3"/>
  <c r="L16" i="3" l="1"/>
  <c r="N55" i="3"/>
  <c r="N61" i="3"/>
  <c r="N60" i="3"/>
  <c r="N59" i="3"/>
  <c r="N58" i="3"/>
  <c r="N54" i="2"/>
  <c r="N18" i="2"/>
  <c r="J52" i="3"/>
  <c r="J26" i="3"/>
  <c r="J16" i="3"/>
  <c r="L54" i="2"/>
  <c r="L18" i="2"/>
  <c r="G16" i="3"/>
  <c r="G52" i="3"/>
  <c r="I18" i="2"/>
  <c r="G26" i="3" l="1"/>
  <c r="F26" i="3"/>
  <c r="F16" i="3"/>
  <c r="P39" i="2"/>
  <c r="E26" i="3"/>
  <c r="G18" i="2" l="1"/>
  <c r="E18" i="1" l="1"/>
  <c r="F18" i="2"/>
  <c r="N37" i="3" l="1"/>
  <c r="D16" i="3"/>
  <c r="B16" i="3" l="1"/>
  <c r="B83" i="3" s="1"/>
  <c r="B12" i="2"/>
  <c r="D18" i="2"/>
  <c r="C16" i="3"/>
  <c r="D28" i="1"/>
  <c r="D12" i="1"/>
  <c r="M16" i="3"/>
  <c r="M26" i="3"/>
  <c r="M52" i="3"/>
  <c r="O18" i="2"/>
  <c r="K26" i="3"/>
  <c r="P36" i="2"/>
  <c r="P59" i="2"/>
  <c r="P58" i="2"/>
  <c r="P57" i="2"/>
  <c r="H16" i="3" l="1"/>
  <c r="H52" i="3"/>
  <c r="H26" i="3"/>
  <c r="J18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K52" i="3"/>
  <c r="C52" i="3"/>
  <c r="B52" i="3"/>
  <c r="B26" i="3"/>
  <c r="B18" i="2"/>
  <c r="D18" i="1" l="1"/>
  <c r="M10" i="3"/>
  <c r="O54" i="2"/>
  <c r="C38" i="2"/>
  <c r="C18" i="2"/>
  <c r="N54" i="3"/>
  <c r="L26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N53" i="3"/>
  <c r="N25" i="3"/>
  <c r="K16" i="3"/>
  <c r="N24" i="3"/>
  <c r="N23" i="3"/>
  <c r="N22" i="3"/>
  <c r="N21" i="3"/>
  <c r="N20" i="3"/>
  <c r="N19" i="3"/>
  <c r="N18" i="3"/>
  <c r="N17" i="3"/>
  <c r="J10" i="3"/>
  <c r="J83" i="3" s="1"/>
  <c r="H10" i="3"/>
  <c r="G10" i="3"/>
  <c r="G83" i="3" s="1"/>
  <c r="F10" i="3"/>
  <c r="F83" i="3" s="1"/>
  <c r="E10" i="3"/>
  <c r="D10" i="3"/>
  <c r="D83" i="3" s="1"/>
  <c r="C10" i="3"/>
  <c r="B10" i="3"/>
  <c r="N11" i="3"/>
  <c r="P56" i="2"/>
  <c r="P55" i="2"/>
  <c r="M54" i="2"/>
  <c r="K54" i="2"/>
  <c r="J54" i="2"/>
  <c r="I54" i="2"/>
  <c r="P31" i="2"/>
  <c r="P37" i="2"/>
  <c r="P35" i="2"/>
  <c r="P34" i="2"/>
  <c r="P33" i="2"/>
  <c r="P32" i="2"/>
  <c r="P30" i="2"/>
  <c r="P29" i="2"/>
  <c r="P27" i="2"/>
  <c r="P25" i="2"/>
  <c r="P22" i="2"/>
  <c r="P21" i="2"/>
  <c r="P20" i="2"/>
  <c r="K18" i="2"/>
  <c r="P26" i="2"/>
  <c r="P24" i="2"/>
  <c r="P23" i="2"/>
  <c r="P19" i="2"/>
  <c r="P17" i="2"/>
  <c r="P14" i="2"/>
  <c r="P13" i="2"/>
  <c r="G54" i="2"/>
  <c r="E54" i="2"/>
  <c r="D54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O28" i="2"/>
  <c r="N28" i="2"/>
  <c r="M28" i="2"/>
  <c r="L28" i="2"/>
  <c r="K28" i="2"/>
  <c r="J28" i="2"/>
  <c r="I28" i="2"/>
  <c r="H28" i="2"/>
  <c r="G28" i="2"/>
  <c r="F28" i="2"/>
  <c r="E28" i="2"/>
  <c r="D28" i="2"/>
  <c r="O12" i="2"/>
  <c r="N12" i="2"/>
  <c r="M12" i="2"/>
  <c r="L12" i="2"/>
  <c r="K12" i="2"/>
  <c r="J12" i="2"/>
  <c r="I12" i="2"/>
  <c r="H12" i="2"/>
  <c r="G12" i="2"/>
  <c r="F12" i="2"/>
  <c r="E12" i="2"/>
  <c r="D12" i="2"/>
  <c r="B54" i="2"/>
  <c r="B38" i="2"/>
  <c r="C28" i="2"/>
  <c r="B28" i="2"/>
  <c r="C12" i="2"/>
  <c r="G85" i="2" l="1"/>
  <c r="C85" i="2"/>
  <c r="P12" i="2"/>
  <c r="K83" i="3"/>
  <c r="C83" i="3"/>
  <c r="M83" i="3"/>
  <c r="L83" i="3"/>
  <c r="B85" i="2"/>
  <c r="P54" i="2"/>
  <c r="I83" i="3"/>
  <c r="N26" i="3"/>
  <c r="N10" i="3"/>
  <c r="N16" i="3"/>
  <c r="N52" i="3"/>
  <c r="P28" i="2"/>
  <c r="F85" i="2"/>
  <c r="P18" i="2"/>
  <c r="O85" i="2"/>
  <c r="I85" i="2"/>
  <c r="M85" i="2"/>
  <c r="N85" i="2"/>
  <c r="H85" i="2"/>
  <c r="L85" i="2"/>
  <c r="K85" i="2"/>
  <c r="J85" i="2"/>
  <c r="E85" i="2"/>
  <c r="D85" i="2"/>
  <c r="D54" i="1"/>
  <c r="E38" i="1"/>
  <c r="D38" i="1"/>
  <c r="E28" i="1"/>
  <c r="E12" i="1"/>
  <c r="E85" i="1" l="1"/>
  <c r="N83" i="3"/>
  <c r="D85" i="1"/>
  <c r="P85" i="2"/>
</calcChain>
</file>

<file path=xl/sharedStrings.xml><?xml version="1.0" encoding="utf-8"?>
<sst xmlns="http://schemas.openxmlformats.org/spreadsheetml/2006/main" count="297" uniqueCount="117">
  <si>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</si>
  <si>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</si>
  <si>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</si>
  <si>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</si>
  <si>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</si>
  <si>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</si>
  <si>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</si>
  <si>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</si>
  <si>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</si>
  <si>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</si>
  <si>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</si>
  <si>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</si>
  <si>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</si>
  <si>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</si>
  <si>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</si>
  <si>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</si>
  <si>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</si>
  <si>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</si>
  <si>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</si>
  <si>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</si>
  <si>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</si>
  <si>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</si>
  <si>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</si>
  <si>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</si>
  <si>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</si>
  <si>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</si>
  <si>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</si>
  <si>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</si>
  <si>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</si>
  <si>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</si>
  <si>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</si>
  <si>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</si>
  <si>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</si>
  <si>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</si>
  <si>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</si>
  <si>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</si>
  <si>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</si>
  <si>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</si>
  <si>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</si>
  <si>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</si>
  <si>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</si>
  <si>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</si>
  <si>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</si>
  <si>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</si>
  <si>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</si>
  <si>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</si>
  <si>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</si>
  <si>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</si>
  <si>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</si>
  <si>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</si>
  <si>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</si>
  <si>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</si>
  <si>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</si>
  <si>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</si>
  <si>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</si>
  <si>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</si>
  <si>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</si>
  <si>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</si>
  <si>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</si>
  <si>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</si>
  <si>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</si>
  <si>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</si>
  <si>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</si>
  <si>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</si>
  <si>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</si>
  <si>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</si>
  <si>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</si>
  <si>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</si>
  <si>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</si>
  <si>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</si>
  <si>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</si>
  <si>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</si>
  <si>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</si>
  <si>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</si>
  <si>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</si>
  <si>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</si>
  <si>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</si>
  <si>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</si>
  <si>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</si>
  <si>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</si>
  <si>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</si>
  <si>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</si>
  <si>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</si>
  <si>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</si>
  <si>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</si>
  <si>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</si>
  <si>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</si>
  <si>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</si>
  <si>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</si>
  <si>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</si>
  <si>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</si>
  <si>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</si>
  <si>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</si>
  <si>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</si>
  <si>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</si>
  <si>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</si>
  <si>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</si>
  <si>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</si>
  <si>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</si>
  <si>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</si>
  <si>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</si>
  <si>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</si>
  <si>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</si>
  <si>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</si>
  <si>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</si>
  <si>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</si>
  <si>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</si>
  <si>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</si>
  <si>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</si>
  <si>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GOBIERNO DE LA REPUBLICA DOMINICANA</t>
  </si>
  <si>
    <t>Nota: Reintegros por devolución de subsidio enfermedad común RD$0</t>
  </si>
  <si>
    <t xml:space="preserve">Freidy Hinojosa Sánchez </t>
  </si>
  <si>
    <t xml:space="preserve"> </t>
  </si>
  <si>
    <t>Oct</t>
  </si>
  <si>
    <t>Nov</t>
  </si>
  <si>
    <t>Dic</t>
  </si>
  <si>
    <t xml:space="preserve">                                                                                                                                           Director  Administrativo y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</si>
</sst>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b/>
      <i/>
      <sz val="11"/>
      <color theme="0"/>
      <name val="Gotham"/>
    </font>
    <font>
      <b/>
      <sz val="11"/>
      <color theme="1"/>
      <name val="Gotham"/>
    </font>
    <font>
      <sz val="14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center"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center" vertical="center" wrapText="1"/>
    </xf>
    <xf numFmtId="0" fontId="0" fillId="0" borderId="0" xfId="0" applyFont="1"/>
    <xf numFmtId="0" fontId="5" fillId="0" borderId="5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17" fillId="0" borderId="5" xfId="0" applyFont="1" applyBorder="1" applyAlignment="1">
      <alignment horizontal="center" vertical="top" wrapText="1" readingOrder="1"/>
    </xf>
    <xf numFmtId="0" fontId="17" fillId="0" borderId="0" xfId="0" applyFont="1" applyAlignment="1">
      <alignment horizontal="center" vertical="top" wrapText="1" readingOrder="1"/>
    </xf>
    <xf numFmtId="0" fontId="18" fillId="0" borderId="0" xfId="0" applyFont="1" applyAlignment="1">
      <alignment horizontal="left" indent="1"/>
    </xf>
    <xf numFmtId="4" fontId="18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left" indent="2"/>
    </xf>
    <xf numFmtId="4" fontId="19" fillId="0" borderId="0" xfId="0" applyNumberFormat="1" applyFont="1"/>
    <xf numFmtId="0" fontId="19" fillId="0" borderId="9" xfId="0" applyFont="1" applyBorder="1"/>
    <xf numFmtId="0" fontId="19" fillId="0" borderId="0" xfId="0" applyFont="1" applyAlignment="1">
      <alignment horizontal="left" wrapText="1" indent="2"/>
    </xf>
    <xf numFmtId="0" fontId="18" fillId="0" borderId="1" xfId="0" applyFont="1" applyBorder="1" applyAlignment="1">
      <alignment horizontal="left"/>
    </xf>
    <xf numFmtId="4" fontId="18" fillId="0" borderId="1" xfId="0" applyNumberFormat="1" applyFont="1" applyBorder="1"/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/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190500</xdr:colOff>
      <xdr:row>2</xdr:row>
      <xdr:rowOff>152400</xdr:rowOff>
    </xdr:from>
    <xdr:to>
      <xdr:col>15</xdr:col>
      <xdr:colOff>609600</xdr:colOff>
      <xdr:row>7</xdr:row>
      <xdr:rowOff>104775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4478000" y="304800"/>
          <a:ext cx="1657350" cy="1181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12</xdr:col>
      <xdr:colOff>219076</xdr:colOff>
      <xdr:row>2</xdr:row>
      <xdr:rowOff>104775</xdr:rowOff>
    </xdr:from>
    <xdr:to>
      <xdr:col>15</xdr:col>
      <xdr:colOff>583087</xdr:colOff>
      <xdr:row>8</xdr:row>
      <xdr:rowOff>11700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6" y="25717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647701</xdr:colOff>
      <xdr:row>0</xdr:row>
      <xdr:rowOff>76200</xdr:rowOff>
    </xdr:from>
    <xdr:to>
      <xdr:col>13</xdr:col>
      <xdr:colOff>335437</xdr:colOff>
      <xdr:row>4</xdr:row>
      <xdr:rowOff>97425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6" y="762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P93"/>
  <sheetViews>
    <sheetView showGridLines="0" topLeftCell="B70" workbookViewId="0">
      <selection activeCell="E85" sqref="E85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54" t="s">
        <v>109</v>
      </c>
      <c r="D3" s="54"/>
      <c r="E3" s="54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54" t="s">
        <v>98</v>
      </c>
      <c r="D4" s="54"/>
      <c r="E4" s="54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51">
        <v>2026</v>
      </c>
      <c r="D5" s="52"/>
      <c r="E5" s="5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53" t="s">
        <v>76</v>
      </c>
      <c r="D6" s="40"/>
      <c r="E6" s="40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53" t="s">
        <v>77</v>
      </c>
      <c r="D7" s="40"/>
      <c r="E7" s="40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8" t="s">
        <v>66</v>
      </c>
      <c r="D9" s="49" t="s">
        <v>94</v>
      </c>
      <c r="E9" s="49" t="s">
        <v>93</v>
      </c>
      <c r="F9" s="8"/>
    </row>
    <row r="10" spans="2:16" ht="23.25" customHeight="1" x14ac:dyDescent="0.25">
      <c r="C10" s="48"/>
      <c r="D10" s="50"/>
      <c r="E10" s="50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233011100</v>
      </c>
      <c r="E12" s="4">
        <f>E13+E14+E17</f>
        <v>257671203</v>
      </c>
      <c r="F12" s="8"/>
    </row>
    <row r="13" spans="2:16" x14ac:dyDescent="0.25">
      <c r="C13" s="5" t="s">
        <v>2</v>
      </c>
      <c r="D13" s="6">
        <v>175923207</v>
      </c>
      <c r="E13" s="6">
        <v>195856262</v>
      </c>
      <c r="F13" s="8"/>
    </row>
    <row r="14" spans="2:16" x14ac:dyDescent="0.25">
      <c r="C14" s="5" t="s">
        <v>3</v>
      </c>
      <c r="D14" s="6">
        <v>32210262</v>
      </c>
      <c r="E14" s="6">
        <v>34249762</v>
      </c>
      <c r="F14" s="8"/>
    </row>
    <row r="15" spans="2:16" x14ac:dyDescent="0.25">
      <c r="C15" s="5" t="s">
        <v>4</v>
      </c>
      <c r="D15" s="6"/>
      <c r="E15" s="6"/>
      <c r="F15" s="8"/>
    </row>
    <row r="16" spans="2:16" x14ac:dyDescent="0.25">
      <c r="C16" s="5" t="s">
        <v>5</v>
      </c>
      <c r="D16" s="6"/>
      <c r="E16" s="6"/>
      <c r="F16" s="8"/>
    </row>
    <row r="17" spans="3:6" x14ac:dyDescent="0.25">
      <c r="C17" s="5" t="s">
        <v>6</v>
      </c>
      <c r="D17" s="6">
        <v>24877631</v>
      </c>
      <c r="E17" s="6">
        <v>27565179</v>
      </c>
      <c r="F17" s="8"/>
    </row>
    <row r="18" spans="3:6" x14ac:dyDescent="0.25">
      <c r="C18" s="3" t="s">
        <v>7</v>
      </c>
      <c r="D18" s="4">
        <f>D19+D20+D21+D22+D23+D24+D25+D26+D27</f>
        <v>83152099</v>
      </c>
      <c r="E18" s="4">
        <f>E19+E20+E21+E22+E23+E24+E25+E26+E27</f>
        <v>92322514.409999996</v>
      </c>
      <c r="F18" s="8"/>
    </row>
    <row r="19" spans="3:6" x14ac:dyDescent="0.25">
      <c r="C19" s="5" t="s">
        <v>8</v>
      </c>
      <c r="D19" s="6">
        <v>26752090</v>
      </c>
      <c r="E19" s="6">
        <v>26819657.5</v>
      </c>
      <c r="F19" s="8"/>
    </row>
    <row r="20" spans="3:6" x14ac:dyDescent="0.25">
      <c r="C20" s="5" t="s">
        <v>9</v>
      </c>
      <c r="D20" s="6">
        <v>104500</v>
      </c>
      <c r="E20" s="6">
        <v>44500</v>
      </c>
      <c r="F20" s="8"/>
    </row>
    <row r="21" spans="3:6" x14ac:dyDescent="0.25">
      <c r="C21" s="5" t="s">
        <v>10</v>
      </c>
      <c r="D21" s="6">
        <v>2036000</v>
      </c>
      <c r="E21" s="6">
        <v>5328277.7699999996</v>
      </c>
      <c r="F21" s="8"/>
    </row>
    <row r="22" spans="3:6" x14ac:dyDescent="0.25">
      <c r="C22" s="5" t="s">
        <v>11</v>
      </c>
      <c r="D22" s="6">
        <v>219000</v>
      </c>
      <c r="E22" s="6">
        <v>236900</v>
      </c>
      <c r="F22" s="8"/>
    </row>
    <row r="23" spans="3:6" x14ac:dyDescent="0.25">
      <c r="C23" s="5" t="s">
        <v>12</v>
      </c>
      <c r="D23" s="6">
        <v>23260000</v>
      </c>
      <c r="E23" s="6">
        <v>22711281.059999999</v>
      </c>
    </row>
    <row r="24" spans="3:6" x14ac:dyDescent="0.25">
      <c r="C24" s="5" t="s">
        <v>13</v>
      </c>
      <c r="D24" s="6">
        <v>15692720</v>
      </c>
      <c r="E24" s="6">
        <v>17209617</v>
      </c>
    </row>
    <row r="25" spans="3:6" x14ac:dyDescent="0.25">
      <c r="C25" s="5" t="s">
        <v>14</v>
      </c>
      <c r="D25" s="6">
        <v>2671200</v>
      </c>
      <c r="E25" s="6">
        <v>6138612</v>
      </c>
    </row>
    <row r="26" spans="3:6" x14ac:dyDescent="0.25">
      <c r="C26" s="5" t="s">
        <v>15</v>
      </c>
      <c r="D26" s="6">
        <v>8218589</v>
      </c>
      <c r="E26" s="6">
        <v>9592701.2599999998</v>
      </c>
    </row>
    <row r="27" spans="3:6" x14ac:dyDescent="0.25">
      <c r="C27" s="5" t="s">
        <v>16</v>
      </c>
      <c r="D27" s="6">
        <v>4198000</v>
      </c>
      <c r="E27" s="6">
        <v>4240967.82</v>
      </c>
    </row>
    <row r="28" spans="3:6" x14ac:dyDescent="0.25">
      <c r="C28" s="3" t="s">
        <v>17</v>
      </c>
      <c r="D28" s="4">
        <f>D29+D30+D31+D32+D33+D34+D35+D37</f>
        <v>12083506</v>
      </c>
      <c r="E28" s="4">
        <f>E29+E30+E31+E32+E33+E34+E35+E37</f>
        <v>14167697</v>
      </c>
    </row>
    <row r="29" spans="3:6" x14ac:dyDescent="0.25">
      <c r="C29" s="5" t="s">
        <v>18</v>
      </c>
      <c r="D29" s="6">
        <v>460000</v>
      </c>
      <c r="E29" s="6">
        <v>903600</v>
      </c>
    </row>
    <row r="30" spans="3:6" x14ac:dyDescent="0.25">
      <c r="C30" s="5" t="s">
        <v>19</v>
      </c>
      <c r="D30" s="6">
        <v>70000</v>
      </c>
      <c r="E30" s="6">
        <v>30020</v>
      </c>
    </row>
    <row r="31" spans="3:6" x14ac:dyDescent="0.25">
      <c r="C31" s="5" t="s">
        <v>20</v>
      </c>
      <c r="D31" s="6">
        <v>300000</v>
      </c>
      <c r="E31" s="6">
        <v>213497</v>
      </c>
    </row>
    <row r="32" spans="3:6" x14ac:dyDescent="0.25">
      <c r="C32" s="5" t="s">
        <v>21</v>
      </c>
      <c r="D32" s="6">
        <v>0</v>
      </c>
      <c r="E32" s="6">
        <v>892</v>
      </c>
    </row>
    <row r="33" spans="3:5" x14ac:dyDescent="0.25">
      <c r="C33" s="5" t="s">
        <v>22</v>
      </c>
      <c r="D33" s="6">
        <v>1200000</v>
      </c>
      <c r="E33" s="6">
        <v>313684</v>
      </c>
    </row>
    <row r="34" spans="3:5" x14ac:dyDescent="0.25">
      <c r="C34" s="5" t="s">
        <v>23</v>
      </c>
      <c r="D34" s="6">
        <v>200000</v>
      </c>
      <c r="E34" s="6">
        <v>564756</v>
      </c>
    </row>
    <row r="35" spans="3:5" x14ac:dyDescent="0.25">
      <c r="C35" s="5" t="s">
        <v>24</v>
      </c>
      <c r="D35" s="6">
        <v>9140000</v>
      </c>
      <c r="E35" s="6">
        <v>10191410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713506</v>
      </c>
      <c r="E37" s="6">
        <v>1949838</v>
      </c>
    </row>
    <row r="38" spans="3:5" x14ac:dyDescent="0.25">
      <c r="C38" s="3" t="s">
        <v>27</v>
      </c>
      <c r="D38" s="4">
        <f>D39</f>
        <v>40000</v>
      </c>
      <c r="E38" s="4">
        <f>E39</f>
        <v>40000</v>
      </c>
    </row>
    <row r="39" spans="3:5" x14ac:dyDescent="0.25">
      <c r="C39" s="5" t="s">
        <v>28</v>
      </c>
      <c r="D39" s="6">
        <v>40000</v>
      </c>
      <c r="E39" s="6">
        <v>40000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800000</v>
      </c>
      <c r="E54" s="4">
        <f>E55+E58+E59+E56+E62+E60</f>
        <v>1466500</v>
      </c>
    </row>
    <row r="55" spans="3:5" x14ac:dyDescent="0.25">
      <c r="C55" s="5" t="s">
        <v>44</v>
      </c>
      <c r="D55" s="6">
        <v>550000</v>
      </c>
      <c r="E55" s="6">
        <v>1013768</v>
      </c>
    </row>
    <row r="56" spans="3:5" x14ac:dyDescent="0.25">
      <c r="C56" s="5" t="s">
        <v>45</v>
      </c>
      <c r="D56" s="6"/>
      <c r="E56" s="6">
        <v>270000</v>
      </c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250000</v>
      </c>
      <c r="E59" s="6">
        <v>132700</v>
      </c>
    </row>
    <row r="60" spans="3:5" x14ac:dyDescent="0.25">
      <c r="C60" s="5" t="s">
        <v>49</v>
      </c>
      <c r="D60" s="6"/>
      <c r="E60" s="6">
        <v>50032</v>
      </c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/>
    </row>
    <row r="63" spans="3:5" x14ac:dyDescent="0.25">
      <c r="C63" s="5" t="s">
        <v>52</v>
      </c>
      <c r="D63" s="6"/>
      <c r="E63" t="s">
        <v>112</v>
      </c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329086705</v>
      </c>
      <c r="E85" s="23">
        <f>E54+E38+E28+E18+E12</f>
        <v>365667914.40999997</v>
      </c>
    </row>
    <row r="87" spans="3:5" hidden="1" x14ac:dyDescent="0.25"/>
    <row r="88" spans="3:5" hidden="1" x14ac:dyDescent="0.25"/>
    <row r="89" spans="3:5" hidden="1" x14ac:dyDescent="0.25"/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6"/>
  <sheetViews>
    <sheetView showGridLines="0" tabSelected="1" workbookViewId="0">
      <selection activeCell="D29" sqref="D29"/>
    </sheetView>
  </sheetViews>
  <sheetFormatPr defaultColWidth="11.42578125" defaultRowHeight="15" x14ac:dyDescent="0.25"/>
  <cols>
    <col min="1" max="1" width="57.5703125" customWidth="1"/>
    <col min="2" max="2" width="19.5703125" customWidth="1"/>
    <col min="3" max="3" width="16.7109375" customWidth="1"/>
    <col min="4" max="4" width="13.140625" customWidth="1"/>
    <col min="5" max="5" width="15.140625" customWidth="1"/>
    <col min="6" max="7" width="13.28515625" customWidth="1"/>
    <col min="8" max="8" width="13.7109375" customWidth="1"/>
    <col min="9" max="9" width="13" customWidth="1"/>
    <col min="10" max="10" width="12.85546875" customWidth="1"/>
    <col min="11" max="11" width="13.140625" customWidth="1"/>
    <col min="12" max="12" width="12.85546875" customWidth="1"/>
    <col min="13" max="13" width="6.28515625" customWidth="1"/>
    <col min="14" max="14" width="6.42578125" customWidth="1"/>
    <col min="15" max="15" width="5.85546875" customWidth="1"/>
    <col min="16" max="16" width="15.5703125" customWidth="1"/>
  </cols>
  <sheetData>
    <row r="1" spans="1:17" ht="3" customHeight="1" x14ac:dyDescent="0.25"/>
    <row r="2" spans="1:17" hidden="1" x14ac:dyDescent="0.25"/>
    <row r="3" spans="1:17" ht="25.5" customHeight="1" x14ac:dyDescent="0.25">
      <c r="A3" s="56" t="s">
        <v>109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7" ht="21" customHeight="1" x14ac:dyDescent="0.25">
      <c r="A4" s="58" t="s">
        <v>99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7" ht="9.75" customHeight="1" x14ac:dyDescent="0.25">
      <c r="A5" s="51">
        <v>2026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</row>
    <row r="6" spans="1:17" ht="15.75" customHeight="1" x14ac:dyDescent="0.25">
      <c r="A6" s="53" t="s">
        <v>92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7" spans="1:17" ht="15.75" customHeight="1" x14ac:dyDescent="0.25">
      <c r="A7" s="40" t="s">
        <v>77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</row>
    <row r="8" spans="1:17" ht="1.5" customHeight="1" x14ac:dyDescent="0.25"/>
    <row r="9" spans="1:17" ht="25.5" customHeight="1" x14ac:dyDescent="0.25">
      <c r="A9" s="48" t="s">
        <v>66</v>
      </c>
      <c r="B9" s="49" t="s">
        <v>94</v>
      </c>
      <c r="C9" s="49" t="s">
        <v>93</v>
      </c>
      <c r="D9" s="41" t="s">
        <v>91</v>
      </c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3"/>
    </row>
    <row r="10" spans="1:17" x14ac:dyDescent="0.25">
      <c r="A10" s="48"/>
      <c r="B10" s="50"/>
      <c r="C10" s="50"/>
      <c r="D10" s="15" t="s">
        <v>79</v>
      </c>
      <c r="E10" s="15" t="s">
        <v>80</v>
      </c>
      <c r="F10" s="15" t="s">
        <v>81</v>
      </c>
      <c r="G10" s="15" t="s">
        <v>82</v>
      </c>
      <c r="H10" s="16" t="s">
        <v>83</v>
      </c>
      <c r="I10" s="15" t="s">
        <v>84</v>
      </c>
      <c r="J10" s="16" t="s">
        <v>85</v>
      </c>
      <c r="K10" s="15" t="s">
        <v>86</v>
      </c>
      <c r="L10" s="15" t="s">
        <v>87</v>
      </c>
      <c r="M10" s="15" t="s">
        <v>113</v>
      </c>
      <c r="N10" s="15" t="s">
        <v>114</v>
      </c>
      <c r="O10" s="16" t="s">
        <v>115</v>
      </c>
      <c r="P10" s="15" t="s">
        <v>78</v>
      </c>
    </row>
    <row r="11" spans="1:17" x14ac:dyDescent="0.25">
      <c r="A11" s="1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7" s="62" customFormat="1" ht="12.75" x14ac:dyDescent="0.2">
      <c r="A12" s="60" t="s">
        <v>1</v>
      </c>
      <c r="B12" s="61">
        <f>B13+B14+B17</f>
        <v>233011100</v>
      </c>
      <c r="C12" s="61">
        <f>C13+C14+C17</f>
        <v>257671203</v>
      </c>
      <c r="D12" s="61">
        <f t="shared" ref="D12:O12" si="0">D13+D14+D17</f>
        <v>16468246.950000001</v>
      </c>
      <c r="E12" s="61">
        <f t="shared" si="0"/>
        <v>17894777.140000001</v>
      </c>
      <c r="F12" s="61">
        <f t="shared" si="0"/>
        <v>17140657.43</v>
      </c>
      <c r="G12" s="61">
        <f t="shared" si="0"/>
        <v>28782888.059999999</v>
      </c>
      <c r="H12" s="61">
        <f t="shared" si="0"/>
        <v>16753187.51</v>
      </c>
      <c r="I12" s="61">
        <f t="shared" si="0"/>
        <v>17567383.009999998</v>
      </c>
      <c r="J12" s="61">
        <f t="shared" si="0"/>
        <v>16883280.48</v>
      </c>
      <c r="K12" s="61">
        <f t="shared" si="0"/>
        <v>16708157.76</v>
      </c>
      <c r="L12" s="61">
        <f t="shared" si="0"/>
        <v>16410542.58</v>
      </c>
      <c r="M12" s="61">
        <f t="shared" si="0"/>
        <v>0</v>
      </c>
      <c r="N12" s="61">
        <f t="shared" si="0"/>
        <v>0</v>
      </c>
      <c r="O12" s="61">
        <f t="shared" si="0"/>
        <v>0</v>
      </c>
      <c r="P12" s="61">
        <f>SUM(D12:O12)</f>
        <v>164609120.92000002</v>
      </c>
    </row>
    <row r="13" spans="1:17" s="62" customFormat="1" ht="12.75" x14ac:dyDescent="0.2">
      <c r="A13" s="63" t="s">
        <v>2</v>
      </c>
      <c r="B13" s="64">
        <v>175923207</v>
      </c>
      <c r="C13" s="64">
        <v>195856262</v>
      </c>
      <c r="D13" s="64">
        <f>11749838.91+7500+2321824.5+283148.31</f>
        <v>14362311.720000001</v>
      </c>
      <c r="E13" s="64">
        <v>15340960.15</v>
      </c>
      <c r="F13" s="64">
        <f>12922124.36+168000+120333.33+1260000+340101.52</f>
        <v>14810559.209999999</v>
      </c>
      <c r="G13" s="64">
        <f>12996124.36+160000+140000+13143268.86</f>
        <v>26439393.219999999</v>
      </c>
      <c r="H13" s="64">
        <v>14344624.359999999</v>
      </c>
      <c r="I13" s="64">
        <f>13366374.36+95000+674333.33+821365.94</f>
        <v>14957073.629999999</v>
      </c>
      <c r="J13" s="64">
        <f>13791374.36+95000+506000</f>
        <v>14392374.359999999</v>
      </c>
      <c r="K13" s="64">
        <f>13617374.36+95000+508767.88</f>
        <v>14221142.24</v>
      </c>
      <c r="L13" s="64">
        <f>13810374.36+95000</f>
        <v>13905374.359999999</v>
      </c>
      <c r="M13" s="64">
        <v>0</v>
      </c>
      <c r="N13" s="64">
        <v>0</v>
      </c>
      <c r="O13" s="64">
        <v>0</v>
      </c>
      <c r="P13" s="64">
        <f>SUM(D13:O13)</f>
        <v>142773813.25</v>
      </c>
    </row>
    <row r="14" spans="1:17" s="62" customFormat="1" ht="12.75" x14ac:dyDescent="0.2">
      <c r="A14" s="63" t="s">
        <v>3</v>
      </c>
      <c r="B14" s="64">
        <v>32210262</v>
      </c>
      <c r="C14" s="64">
        <v>34249762</v>
      </c>
      <c r="D14" s="64">
        <v>333500</v>
      </c>
      <c r="E14" s="64">
        <v>333500</v>
      </c>
      <c r="F14" s="64">
        <v>333500</v>
      </c>
      <c r="G14" s="64">
        <v>333500</v>
      </c>
      <c r="H14" s="64">
        <v>333500</v>
      </c>
      <c r="I14" s="64">
        <v>475500</v>
      </c>
      <c r="J14" s="64">
        <v>393143</v>
      </c>
      <c r="K14" s="64">
        <v>415857</v>
      </c>
      <c r="L14" s="64">
        <v>404500</v>
      </c>
      <c r="M14" s="64">
        <v>0</v>
      </c>
      <c r="N14" s="64">
        <v>0</v>
      </c>
      <c r="O14" s="64">
        <v>0</v>
      </c>
      <c r="P14" s="64">
        <f>SUM(D14:O14)</f>
        <v>3356500</v>
      </c>
    </row>
    <row r="15" spans="1:17" s="62" customFormat="1" ht="12.75" x14ac:dyDescent="0.2">
      <c r="A15" s="63" t="s">
        <v>4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5"/>
    </row>
    <row r="16" spans="1:17" s="62" customFormat="1" ht="12.75" x14ac:dyDescent="0.2">
      <c r="A16" s="63" t="s">
        <v>5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</row>
    <row r="17" spans="1:16" s="62" customFormat="1" ht="12.75" x14ac:dyDescent="0.2">
      <c r="A17" s="63" t="s">
        <v>6</v>
      </c>
      <c r="B17" s="64">
        <v>24877631</v>
      </c>
      <c r="C17" s="64">
        <v>27565179</v>
      </c>
      <c r="D17" s="64">
        <f>830174.3+834771.05+107489.88</f>
        <v>1772435.23</v>
      </c>
      <c r="E17" s="64">
        <f>1039218.29+1043010.65+138088.05</f>
        <v>2220316.9899999998</v>
      </c>
      <c r="F17" s="64">
        <f>934298.1+937942.49+124357.63</f>
        <v>1996598.2199999997</v>
      </c>
      <c r="G17" s="64">
        <f>940371.87+944024.82+125598.15</f>
        <v>2009994.8399999999</v>
      </c>
      <c r="H17" s="64">
        <v>2075063.15</v>
      </c>
      <c r="I17" s="64">
        <f>999898.33+1003635.24+131275.81</f>
        <v>2134809.38</v>
      </c>
      <c r="J17" s="64">
        <f>982220.6+985932.57+129609.95</f>
        <v>2097763.12</v>
      </c>
      <c r="K17" s="64">
        <f>969884+973578.57+127695.95</f>
        <v>2071158.5199999998</v>
      </c>
      <c r="L17" s="64">
        <f>983567.7+987281.57+129818.95</f>
        <v>2100668.2200000002</v>
      </c>
      <c r="M17" s="64">
        <v>0</v>
      </c>
      <c r="N17" s="64">
        <v>0</v>
      </c>
      <c r="O17" s="64">
        <v>0</v>
      </c>
      <c r="P17" s="64">
        <f t="shared" ref="P17:P27" si="1">SUM(D17:O17)</f>
        <v>18478807.669999998</v>
      </c>
    </row>
    <row r="18" spans="1:16" s="62" customFormat="1" ht="12.75" x14ac:dyDescent="0.2">
      <c r="A18" s="60" t="s">
        <v>7</v>
      </c>
      <c r="B18" s="61">
        <f t="shared" ref="B18:G18" si="2">B19+B20+B21+B22+B23+B24+B25+B26+B27</f>
        <v>83152099</v>
      </c>
      <c r="C18" s="61">
        <f t="shared" si="2"/>
        <v>92322514.409999996</v>
      </c>
      <c r="D18" s="61">
        <f t="shared" si="2"/>
        <v>4195312.53</v>
      </c>
      <c r="E18" s="61">
        <f>E19+E20+E21+E22+E23+E24+E25+E26+E27</f>
        <v>5136944.09</v>
      </c>
      <c r="F18" s="61">
        <f t="shared" si="2"/>
        <v>8706612.4900000002</v>
      </c>
      <c r="G18" s="61">
        <f t="shared" si="2"/>
        <v>4273732.05</v>
      </c>
      <c r="H18" s="61">
        <f t="shared" ref="H18:O18" si="3">H19+H20+H21+H22+H23+H24+H25+H26+H27</f>
        <v>5408974.8200000003</v>
      </c>
      <c r="I18" s="61">
        <f t="shared" si="3"/>
        <v>11222477.609999999</v>
      </c>
      <c r="J18" s="61">
        <f t="shared" si="3"/>
        <v>7108510.9700000007</v>
      </c>
      <c r="K18" s="61">
        <f t="shared" si="3"/>
        <v>5178562.34</v>
      </c>
      <c r="L18" s="61">
        <f t="shared" si="3"/>
        <v>5438359.1000000006</v>
      </c>
      <c r="M18" s="61">
        <f t="shared" si="3"/>
        <v>0</v>
      </c>
      <c r="N18" s="61">
        <f t="shared" si="3"/>
        <v>0</v>
      </c>
      <c r="O18" s="61">
        <f t="shared" si="3"/>
        <v>0</v>
      </c>
      <c r="P18" s="61">
        <f t="shared" si="1"/>
        <v>56669486.000000007</v>
      </c>
    </row>
    <row r="19" spans="1:16" s="62" customFormat="1" ht="12.75" x14ac:dyDescent="0.2">
      <c r="A19" s="63" t="s">
        <v>8</v>
      </c>
      <c r="B19" s="64">
        <v>26752090</v>
      </c>
      <c r="C19" s="64">
        <v>26819657.5</v>
      </c>
      <c r="D19" s="64">
        <f>691768.57+394996.41+1670784.43+518358.91+3094+1600</f>
        <v>3280602.3200000003</v>
      </c>
      <c r="E19" s="64">
        <f>392341.28+207269.58+1075113.15+430030.45+900</f>
        <v>2105654.46</v>
      </c>
      <c r="F19" s="64">
        <f>604959.42+281054.54+1014771.82+478298.88+6188+5070</f>
        <v>2390342.6599999997</v>
      </c>
      <c r="G19" s="64">
        <f>529931.15+190610.74+950116.33+491934.35+3094+1900+25219.3</f>
        <v>2192805.8699999996</v>
      </c>
      <c r="H19" s="64">
        <v>1864517.6</v>
      </c>
      <c r="I19" s="64">
        <f>527282.61+230059.32+895577.66+533013.13+3094+3030</f>
        <v>2192056.7199999997</v>
      </c>
      <c r="J19" s="64">
        <f>492957.9+184377.23+894687.19+593176.69+3094+2500</f>
        <v>2170793.0099999998</v>
      </c>
      <c r="K19" s="64">
        <f>442898.62+170449.28+912431.6+642323.11+3094+2500</f>
        <v>2173696.61</v>
      </c>
      <c r="L19" s="64">
        <f>376338.77+112768.84+909018.9+708062.44+3094+2500</f>
        <v>2111782.9500000002</v>
      </c>
      <c r="M19" s="64">
        <v>0</v>
      </c>
      <c r="N19" s="64">
        <v>0</v>
      </c>
      <c r="O19" s="64">
        <v>0</v>
      </c>
      <c r="P19" s="64">
        <f t="shared" si="1"/>
        <v>20482252.199999999</v>
      </c>
    </row>
    <row r="20" spans="1:16" s="62" customFormat="1" ht="12.75" x14ac:dyDescent="0.2">
      <c r="A20" s="63" t="s">
        <v>9</v>
      </c>
      <c r="B20" s="64">
        <v>104500</v>
      </c>
      <c r="C20" s="64">
        <v>44500</v>
      </c>
      <c r="D20" s="64">
        <v>0</v>
      </c>
      <c r="E20" s="64">
        <v>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14348.8</v>
      </c>
      <c r="L20" s="64">
        <v>0</v>
      </c>
      <c r="M20" s="64">
        <v>0</v>
      </c>
      <c r="N20" s="64">
        <v>0</v>
      </c>
      <c r="O20" s="64">
        <v>0</v>
      </c>
      <c r="P20" s="64">
        <f t="shared" si="1"/>
        <v>14348.8</v>
      </c>
    </row>
    <row r="21" spans="1:16" s="62" customFormat="1" ht="12.75" x14ac:dyDescent="0.2">
      <c r="A21" s="63" t="s">
        <v>10</v>
      </c>
      <c r="B21" s="64">
        <v>2036000</v>
      </c>
      <c r="C21" s="64">
        <v>5328277.7699999996</v>
      </c>
      <c r="D21" s="64">
        <v>23335</v>
      </c>
      <c r="E21" s="64">
        <v>1380385</v>
      </c>
      <c r="F21" s="64">
        <v>2238100</v>
      </c>
      <c r="G21" s="64">
        <v>258797.5</v>
      </c>
      <c r="H21" s="64">
        <v>178047.5</v>
      </c>
      <c r="I21" s="64">
        <f>192801.5+22118.4</f>
        <v>214919.9</v>
      </c>
      <c r="J21" s="64">
        <v>157933.34</v>
      </c>
      <c r="K21" s="64">
        <v>39845</v>
      </c>
      <c r="L21" s="64">
        <f>175460+56210.16</f>
        <v>231670.16</v>
      </c>
      <c r="M21" s="64">
        <v>0</v>
      </c>
      <c r="N21" s="64">
        <v>0</v>
      </c>
      <c r="O21" s="64">
        <v>0</v>
      </c>
      <c r="P21" s="64">
        <f t="shared" si="1"/>
        <v>4723033.4000000004</v>
      </c>
    </row>
    <row r="22" spans="1:16" s="62" customFormat="1" ht="12.75" x14ac:dyDescent="0.2">
      <c r="A22" s="63" t="s">
        <v>11</v>
      </c>
      <c r="B22" s="64">
        <v>219000</v>
      </c>
      <c r="C22" s="64">
        <v>236900</v>
      </c>
      <c r="D22" s="64">
        <v>0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f>47328.64+11300+6600</f>
        <v>65228.639999999999</v>
      </c>
      <c r="M22" s="64">
        <v>0</v>
      </c>
      <c r="N22" s="64">
        <v>0</v>
      </c>
      <c r="O22" s="64">
        <v>0</v>
      </c>
      <c r="P22" s="64">
        <f t="shared" si="1"/>
        <v>65228.639999999999</v>
      </c>
    </row>
    <row r="23" spans="1:16" s="62" customFormat="1" ht="12.75" x14ac:dyDescent="0.2">
      <c r="A23" s="63" t="s">
        <v>12</v>
      </c>
      <c r="B23" s="64">
        <v>23260000</v>
      </c>
      <c r="C23" s="64">
        <v>22711281.059999999</v>
      </c>
      <c r="D23" s="64">
        <v>81184</v>
      </c>
      <c r="E23" s="64">
        <v>0</v>
      </c>
      <c r="F23" s="64">
        <v>1053902.8400000001</v>
      </c>
      <c r="G23" s="64">
        <f>97804.8+114762.08</f>
        <v>212566.88</v>
      </c>
      <c r="H23" s="64">
        <v>104184</v>
      </c>
      <c r="I23" s="64">
        <f>7646959.39+81184</f>
        <v>7728143.3899999997</v>
      </c>
      <c r="J23" s="64">
        <f>2573070.15+81184</f>
        <v>2654254.15</v>
      </c>
      <c r="K23" s="64">
        <f>284528.02+465184+115862.4</f>
        <v>865574.42</v>
      </c>
      <c r="L23" s="64">
        <f>1357667.08+157984</f>
        <v>1515651.08</v>
      </c>
      <c r="M23" s="64">
        <v>0</v>
      </c>
      <c r="N23" s="64">
        <v>0</v>
      </c>
      <c r="O23" s="64">
        <v>0</v>
      </c>
      <c r="P23" s="64">
        <f t="shared" si="1"/>
        <v>14215460.76</v>
      </c>
    </row>
    <row r="24" spans="1:16" s="62" customFormat="1" ht="12.75" x14ac:dyDescent="0.2">
      <c r="A24" s="63" t="s">
        <v>13</v>
      </c>
      <c r="B24" s="64">
        <v>15692720</v>
      </c>
      <c r="C24" s="64">
        <v>17209617</v>
      </c>
      <c r="D24" s="64">
        <v>660239.43999999994</v>
      </c>
      <c r="E24" s="64">
        <v>1366288.89</v>
      </c>
      <c r="F24" s="64">
        <v>953165.64</v>
      </c>
      <c r="G24" s="64">
        <f>646085.95+612149.3</f>
        <v>1258235.25</v>
      </c>
      <c r="H24" s="64">
        <v>1392878.65</v>
      </c>
      <c r="I24" s="64">
        <v>684422.25</v>
      </c>
      <c r="J24" s="64">
        <f>26869.94+1078112.21</f>
        <v>1104982.1499999999</v>
      </c>
      <c r="K24" s="64">
        <v>1472679.09</v>
      </c>
      <c r="L24" s="64">
        <f>260412.76+1160499.35</f>
        <v>1420912.11</v>
      </c>
      <c r="M24" s="64">
        <v>0</v>
      </c>
      <c r="N24" s="64">
        <v>0</v>
      </c>
      <c r="O24" s="64">
        <v>0</v>
      </c>
      <c r="P24" s="64">
        <f t="shared" si="1"/>
        <v>10313803.469999999</v>
      </c>
    </row>
    <row r="25" spans="1:16" s="62" customFormat="1" ht="25.5" x14ac:dyDescent="0.2">
      <c r="A25" s="66" t="s">
        <v>14</v>
      </c>
      <c r="B25" s="64">
        <v>2671200</v>
      </c>
      <c r="C25" s="64">
        <v>6138612</v>
      </c>
      <c r="D25" s="64">
        <v>0</v>
      </c>
      <c r="E25" s="64">
        <f>41300+40493.66</f>
        <v>81793.66</v>
      </c>
      <c r="F25" s="64">
        <f>88736+70682</f>
        <v>159418</v>
      </c>
      <c r="G25" s="64">
        <v>25299.200000000001</v>
      </c>
      <c r="H25" s="64">
        <v>1575836.9</v>
      </c>
      <c r="I25" s="64">
        <v>41300</v>
      </c>
      <c r="J25" s="64">
        <f>500000+41300+24091.66</f>
        <v>565391.66</v>
      </c>
      <c r="K25" s="64">
        <v>41300</v>
      </c>
      <c r="L25" s="64">
        <f>1600+4791.9+41300</f>
        <v>47691.9</v>
      </c>
      <c r="M25" s="64">
        <v>0</v>
      </c>
      <c r="N25" s="64">
        <v>0</v>
      </c>
      <c r="O25" s="64">
        <v>0</v>
      </c>
      <c r="P25" s="64">
        <f t="shared" si="1"/>
        <v>2538031.3199999998</v>
      </c>
    </row>
    <row r="26" spans="1:16" s="62" customFormat="1" ht="25.5" x14ac:dyDescent="0.2">
      <c r="A26" s="66" t="s">
        <v>15</v>
      </c>
      <c r="B26" s="64">
        <v>8218589</v>
      </c>
      <c r="C26" s="64">
        <v>9592701.2599999998</v>
      </c>
      <c r="D26" s="64">
        <f>16000</f>
        <v>16000</v>
      </c>
      <c r="E26" s="64">
        <f>58970.5+16000+35400</f>
        <v>110370.5</v>
      </c>
      <c r="F26" s="64">
        <f>16000+1063230.3</f>
        <v>1079230.3</v>
      </c>
      <c r="G26" s="64">
        <f>22479+16000+233208.12+24072</f>
        <v>295759.12</v>
      </c>
      <c r="H26" s="64">
        <v>124969.5</v>
      </c>
      <c r="I26" s="64">
        <f>16000+41064</f>
        <v>57064</v>
      </c>
      <c r="J26" s="64">
        <f>11741+194180.05+16000</f>
        <v>221921.05</v>
      </c>
      <c r="K26" s="64">
        <f>18880+16000+45312</f>
        <v>80192</v>
      </c>
      <c r="L26" s="64">
        <f>1656.79+16000+25370+2395.47</f>
        <v>45422.26</v>
      </c>
      <c r="M26" s="64">
        <v>0</v>
      </c>
      <c r="N26" s="64">
        <v>0</v>
      </c>
      <c r="O26" s="64">
        <v>0</v>
      </c>
      <c r="P26" s="64">
        <f t="shared" si="1"/>
        <v>2030928.73</v>
      </c>
    </row>
    <row r="27" spans="1:16" s="62" customFormat="1" ht="12.75" x14ac:dyDescent="0.2">
      <c r="A27" s="63" t="s">
        <v>16</v>
      </c>
      <c r="B27" s="64">
        <v>4198000</v>
      </c>
      <c r="C27" s="64">
        <v>4240967.82</v>
      </c>
      <c r="D27" s="64">
        <v>133951.76999999999</v>
      </c>
      <c r="E27" s="64">
        <v>92451.58</v>
      </c>
      <c r="F27" s="64">
        <v>832453.05</v>
      </c>
      <c r="G27" s="64">
        <f>10000.5+20267.73</f>
        <v>30268.23</v>
      </c>
      <c r="H27" s="64">
        <v>168540.67</v>
      </c>
      <c r="I27" s="64">
        <f>224267.04+80304.31</f>
        <v>304571.34999999998</v>
      </c>
      <c r="J27" s="64">
        <v>233235.61</v>
      </c>
      <c r="K27" s="64">
        <f>438121+52805.42</f>
        <v>490926.42</v>
      </c>
      <c r="L27" s="64">
        <v>0</v>
      </c>
      <c r="M27" s="64">
        <v>0</v>
      </c>
      <c r="N27" s="64">
        <v>0</v>
      </c>
      <c r="O27" s="64">
        <v>0</v>
      </c>
      <c r="P27" s="64">
        <f t="shared" si="1"/>
        <v>2286398.6799999997</v>
      </c>
    </row>
    <row r="28" spans="1:16" s="62" customFormat="1" ht="12.75" x14ac:dyDescent="0.2">
      <c r="A28" s="60" t="s">
        <v>17</v>
      </c>
      <c r="B28" s="61">
        <f>B29+B30+B31+B32+B33+B34+B35+B37</f>
        <v>12083506</v>
      </c>
      <c r="C28" s="61">
        <f>C29+C30+C31+C32+C33+C34+C35+C37</f>
        <v>14167697</v>
      </c>
      <c r="D28" s="61">
        <f t="shared" ref="D28:P28" si="4">D29+D30+D31+D32+D33+D34+D35+D37</f>
        <v>452000</v>
      </c>
      <c r="E28" s="61">
        <f t="shared" si="4"/>
        <v>495390.28</v>
      </c>
      <c r="F28" s="61">
        <f t="shared" si="4"/>
        <v>683323.69000000006</v>
      </c>
      <c r="G28" s="61">
        <f t="shared" si="4"/>
        <v>792380.51</v>
      </c>
      <c r="H28" s="61">
        <f t="shared" si="4"/>
        <v>548610</v>
      </c>
      <c r="I28" s="61">
        <f t="shared" si="4"/>
        <v>829057.72</v>
      </c>
      <c r="J28" s="61">
        <f t="shared" si="4"/>
        <v>1216106.6299999999</v>
      </c>
      <c r="K28" s="61">
        <f t="shared" si="4"/>
        <v>1319986.5299999998</v>
      </c>
      <c r="L28" s="61">
        <f t="shared" si="4"/>
        <v>878120.99</v>
      </c>
      <c r="M28" s="61">
        <f t="shared" si="4"/>
        <v>0</v>
      </c>
      <c r="N28" s="61">
        <f t="shared" si="4"/>
        <v>0</v>
      </c>
      <c r="O28" s="61">
        <f t="shared" si="4"/>
        <v>0</v>
      </c>
      <c r="P28" s="61">
        <f t="shared" si="4"/>
        <v>7214976.3499999996</v>
      </c>
    </row>
    <row r="29" spans="1:16" s="62" customFormat="1" ht="12.75" x14ac:dyDescent="0.2">
      <c r="A29" s="63" t="s">
        <v>18</v>
      </c>
      <c r="B29" s="64">
        <v>460000</v>
      </c>
      <c r="C29" s="64">
        <v>903600</v>
      </c>
      <c r="D29" s="64">
        <v>0</v>
      </c>
      <c r="E29" s="64">
        <v>29480</v>
      </c>
      <c r="F29" s="64">
        <v>15420</v>
      </c>
      <c r="G29" s="64">
        <v>248319.51</v>
      </c>
      <c r="H29" s="64">
        <v>9360</v>
      </c>
      <c r="I29" s="64">
        <v>38259</v>
      </c>
      <c r="J29" s="64">
        <v>9000</v>
      </c>
      <c r="K29" s="64">
        <f>15050+18703</f>
        <v>33753</v>
      </c>
      <c r="L29" s="64">
        <f>65189.21+11092</f>
        <v>76281.209999999992</v>
      </c>
      <c r="M29" s="64">
        <v>0</v>
      </c>
      <c r="N29" s="64">
        <v>0</v>
      </c>
      <c r="O29" s="64">
        <v>0</v>
      </c>
      <c r="P29" s="64">
        <f t="shared" ref="P29:P36" si="5">SUM(D29:O29)</f>
        <v>459872.72</v>
      </c>
    </row>
    <row r="30" spans="1:16" s="62" customFormat="1" ht="12.75" x14ac:dyDescent="0.2">
      <c r="A30" s="63" t="s">
        <v>19</v>
      </c>
      <c r="B30" s="64">
        <v>70000</v>
      </c>
      <c r="C30" s="64">
        <v>30020</v>
      </c>
      <c r="D30" s="64">
        <v>0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21387.5</v>
      </c>
      <c r="K30" s="64">
        <v>0</v>
      </c>
      <c r="L30" s="64">
        <v>1016</v>
      </c>
      <c r="M30" s="64">
        <v>0</v>
      </c>
      <c r="N30" s="64">
        <v>0</v>
      </c>
      <c r="O30" s="64">
        <v>0</v>
      </c>
      <c r="P30" s="64">
        <f t="shared" si="5"/>
        <v>22403.5</v>
      </c>
    </row>
    <row r="31" spans="1:16" s="62" customFormat="1" ht="12.75" x14ac:dyDescent="0.2">
      <c r="A31" s="63" t="s">
        <v>20</v>
      </c>
      <c r="B31" s="64">
        <v>300000</v>
      </c>
      <c r="C31" s="64">
        <v>213497</v>
      </c>
      <c r="D31" s="64">
        <v>0</v>
      </c>
      <c r="E31" s="64">
        <v>0</v>
      </c>
      <c r="F31" s="64">
        <v>17552.5</v>
      </c>
      <c r="G31" s="64">
        <f>6549+5304.1</f>
        <v>11853.1</v>
      </c>
      <c r="H31" s="64">
        <v>0</v>
      </c>
      <c r="I31" s="64">
        <v>90010.4</v>
      </c>
      <c r="J31" s="64">
        <v>26850.02</v>
      </c>
      <c r="K31" s="64">
        <v>12150</v>
      </c>
      <c r="L31" s="64">
        <f>480.02+3336.65+3337.58</f>
        <v>7154.25</v>
      </c>
      <c r="M31" s="64">
        <v>0</v>
      </c>
      <c r="N31" s="64">
        <v>0</v>
      </c>
      <c r="O31" s="64">
        <v>0</v>
      </c>
      <c r="P31" s="64">
        <f t="shared" si="5"/>
        <v>165570.26999999999</v>
      </c>
    </row>
    <row r="32" spans="1:16" s="62" customFormat="1" ht="12.75" x14ac:dyDescent="0.2">
      <c r="A32" s="63" t="s">
        <v>21</v>
      </c>
      <c r="B32" s="64">
        <v>0</v>
      </c>
      <c r="C32" s="64">
        <v>892</v>
      </c>
      <c r="D32" s="64">
        <v>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891.64</v>
      </c>
      <c r="M32" s="64">
        <v>0</v>
      </c>
      <c r="N32" s="64">
        <v>0</v>
      </c>
      <c r="O32" s="64">
        <v>0</v>
      </c>
      <c r="P32" s="64">
        <f t="shared" si="5"/>
        <v>891.64</v>
      </c>
    </row>
    <row r="33" spans="1:16" s="62" customFormat="1" ht="12.75" x14ac:dyDescent="0.2">
      <c r="A33" s="63" t="s">
        <v>22</v>
      </c>
      <c r="B33" s="64">
        <v>1200000</v>
      </c>
      <c r="C33" s="64">
        <v>313684</v>
      </c>
      <c r="D33" s="64">
        <v>0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184632.71</v>
      </c>
      <c r="K33" s="64">
        <v>0</v>
      </c>
      <c r="L33" s="64">
        <v>4777</v>
      </c>
      <c r="M33" s="64">
        <v>0</v>
      </c>
      <c r="N33" s="64">
        <v>0</v>
      </c>
      <c r="O33" s="64">
        <v>0</v>
      </c>
      <c r="P33" s="64">
        <f t="shared" si="5"/>
        <v>189409.71</v>
      </c>
    </row>
    <row r="34" spans="1:16" s="62" customFormat="1" ht="12.75" x14ac:dyDescent="0.2">
      <c r="A34" s="63" t="s">
        <v>23</v>
      </c>
      <c r="B34" s="64">
        <v>200000</v>
      </c>
      <c r="C34" s="64">
        <v>564756</v>
      </c>
      <c r="D34" s="64">
        <v>0</v>
      </c>
      <c r="E34" s="64">
        <v>0</v>
      </c>
      <c r="F34" s="64">
        <f>5315.39+3639.38+590</f>
        <v>9544.77</v>
      </c>
      <c r="G34" s="64">
        <v>0</v>
      </c>
      <c r="H34" s="64">
        <v>0</v>
      </c>
      <c r="I34" s="64">
        <v>0</v>
      </c>
      <c r="J34" s="64">
        <v>0</v>
      </c>
      <c r="K34" s="64">
        <v>1815.99</v>
      </c>
      <c r="L34" s="64">
        <f>528.64+16225.91</f>
        <v>16754.55</v>
      </c>
      <c r="M34" s="64">
        <v>0</v>
      </c>
      <c r="N34" s="64">
        <v>0</v>
      </c>
      <c r="O34" s="64">
        <v>0</v>
      </c>
      <c r="P34" s="64">
        <f t="shared" si="5"/>
        <v>28115.309999999998</v>
      </c>
    </row>
    <row r="35" spans="1:16" s="62" customFormat="1" ht="25.5" x14ac:dyDescent="0.2">
      <c r="A35" s="66" t="s">
        <v>24</v>
      </c>
      <c r="B35" s="64">
        <v>9140000</v>
      </c>
      <c r="C35" s="64">
        <v>10191410</v>
      </c>
      <c r="D35" s="64">
        <v>452000</v>
      </c>
      <c r="E35" s="64">
        <v>442000</v>
      </c>
      <c r="F35" s="64">
        <f>484000+99999.99+9318.46+1607.16</f>
        <v>594925.61</v>
      </c>
      <c r="G35" s="64">
        <f>500500+649</f>
        <v>501149</v>
      </c>
      <c r="H35" s="64">
        <v>524500</v>
      </c>
      <c r="I35" s="64">
        <v>535500</v>
      </c>
      <c r="J35" s="64">
        <v>550000</v>
      </c>
      <c r="K35" s="64">
        <f>855999.2+99881.6+1600.08+70546.3+2389.5</f>
        <v>1030416.6799999999</v>
      </c>
      <c r="L35" s="64">
        <f>715500+500+470+665+2699.99+323</f>
        <v>720157.99</v>
      </c>
      <c r="M35" s="64">
        <v>0</v>
      </c>
      <c r="N35" s="64">
        <v>0</v>
      </c>
      <c r="O35" s="64">
        <v>0</v>
      </c>
      <c r="P35" s="64">
        <f t="shared" si="5"/>
        <v>5350649.28</v>
      </c>
    </row>
    <row r="36" spans="1:16" s="62" customFormat="1" ht="25.5" x14ac:dyDescent="0.2">
      <c r="A36" s="66" t="s">
        <v>25</v>
      </c>
      <c r="B36" s="64">
        <v>0</v>
      </c>
      <c r="C36" s="64">
        <v>0</v>
      </c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5"/>
        <v>0</v>
      </c>
    </row>
    <row r="37" spans="1:16" s="62" customFormat="1" ht="12.75" x14ac:dyDescent="0.2">
      <c r="A37" s="63" t="s">
        <v>26</v>
      </c>
      <c r="B37" s="64">
        <v>713506</v>
      </c>
      <c r="C37" s="64">
        <v>1949838</v>
      </c>
      <c r="D37" s="64">
        <v>0</v>
      </c>
      <c r="E37" s="64">
        <v>23910.28</v>
      </c>
      <c r="F37" s="64">
        <f>8754.48+23883.2+365.8+12602.39+274.94</f>
        <v>45880.810000000005</v>
      </c>
      <c r="G37" s="64">
        <f>5752.5+955.8+24350.6</f>
        <v>31058.899999999998</v>
      </c>
      <c r="H37" s="64">
        <v>14750</v>
      </c>
      <c r="I37" s="64">
        <f>36839.4+5195.19+71862+4245.35+45922.18+1224.2</f>
        <v>165288.32000000001</v>
      </c>
      <c r="J37" s="64">
        <f>137997+201550.8+1380.6+83308</f>
        <v>424236.39999999997</v>
      </c>
      <c r="K37" s="64">
        <f>67339.48+25378.26+149133.12</f>
        <v>241850.86</v>
      </c>
      <c r="L37" s="64">
        <f>2759.1+6205.54+995+9523.71+750+21005+9850</f>
        <v>51088.35</v>
      </c>
      <c r="M37" s="64">
        <v>0</v>
      </c>
      <c r="N37" s="64">
        <v>0</v>
      </c>
      <c r="O37" s="64">
        <v>0</v>
      </c>
      <c r="P37" s="64">
        <f>SUM(D37:O37)</f>
        <v>998063.91999999993</v>
      </c>
    </row>
    <row r="38" spans="1:16" s="62" customFormat="1" ht="12.75" x14ac:dyDescent="0.2">
      <c r="A38" s="60" t="s">
        <v>27</v>
      </c>
      <c r="B38" s="61">
        <f>B39</f>
        <v>40000</v>
      </c>
      <c r="C38" s="61">
        <f>C39</f>
        <v>40000</v>
      </c>
      <c r="D38" s="61">
        <f t="shared" ref="D38:P38" si="6">D39</f>
        <v>0</v>
      </c>
      <c r="E38" s="61">
        <f t="shared" si="6"/>
        <v>0</v>
      </c>
      <c r="F38" s="61">
        <f t="shared" si="6"/>
        <v>0</v>
      </c>
      <c r="G38" s="61">
        <f t="shared" si="6"/>
        <v>20000</v>
      </c>
      <c r="H38" s="61">
        <f t="shared" si="6"/>
        <v>0</v>
      </c>
      <c r="I38" s="61">
        <f t="shared" si="6"/>
        <v>0</v>
      </c>
      <c r="J38" s="61">
        <f t="shared" si="6"/>
        <v>20000</v>
      </c>
      <c r="K38" s="61">
        <f t="shared" si="6"/>
        <v>0</v>
      </c>
      <c r="L38" s="61">
        <f t="shared" si="6"/>
        <v>0</v>
      </c>
      <c r="M38" s="61">
        <f t="shared" si="6"/>
        <v>0</v>
      </c>
      <c r="N38" s="61">
        <f t="shared" si="6"/>
        <v>0</v>
      </c>
      <c r="O38" s="61">
        <f t="shared" si="6"/>
        <v>0</v>
      </c>
      <c r="P38" s="61">
        <f t="shared" si="6"/>
        <v>40000</v>
      </c>
    </row>
    <row r="39" spans="1:16" s="62" customFormat="1" ht="12.75" x14ac:dyDescent="0.2">
      <c r="A39" s="63" t="s">
        <v>28</v>
      </c>
      <c r="B39" s="64">
        <v>40000</v>
      </c>
      <c r="C39" s="64">
        <v>40000</v>
      </c>
      <c r="D39" s="64">
        <v>0</v>
      </c>
      <c r="E39" s="64">
        <v>0</v>
      </c>
      <c r="F39" s="64">
        <v>0</v>
      </c>
      <c r="G39" s="64">
        <v>20000</v>
      </c>
      <c r="H39" s="64">
        <v>0</v>
      </c>
      <c r="I39" s="64">
        <v>0</v>
      </c>
      <c r="J39" s="64">
        <v>20000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>SUM(D39:O39)</f>
        <v>40000</v>
      </c>
    </row>
    <row r="40" spans="1:16" s="62" customFormat="1" ht="25.5" x14ac:dyDescent="0.2">
      <c r="A40" s="66" t="s">
        <v>29</v>
      </c>
      <c r="B40" s="64">
        <v>0</v>
      </c>
      <c r="C40" s="64">
        <v>0</v>
      </c>
      <c r="D40" s="64">
        <v>0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v>0</v>
      </c>
    </row>
    <row r="41" spans="1:16" s="62" customFormat="1" ht="25.5" x14ac:dyDescent="0.2">
      <c r="A41" s="66" t="s">
        <v>30</v>
      </c>
      <c r="B41" s="64">
        <v>0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v>0</v>
      </c>
    </row>
    <row r="42" spans="1:16" s="62" customFormat="1" ht="25.5" x14ac:dyDescent="0.2">
      <c r="A42" s="66" t="s">
        <v>31</v>
      </c>
      <c r="B42" s="64">
        <v>0</v>
      </c>
      <c r="C42" s="64">
        <v>0</v>
      </c>
      <c r="D42" s="64">
        <v>0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v>0</v>
      </c>
    </row>
    <row r="43" spans="1:16" s="62" customFormat="1" ht="25.5" x14ac:dyDescent="0.2">
      <c r="A43" s="66" t="s">
        <v>32</v>
      </c>
      <c r="B43" s="64">
        <v>0</v>
      </c>
      <c r="C43" s="64">
        <v>0</v>
      </c>
      <c r="D43" s="64">
        <v>0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v>0</v>
      </c>
    </row>
    <row r="44" spans="1:16" s="62" customFormat="1" ht="12.75" x14ac:dyDescent="0.2">
      <c r="A44" s="63" t="s">
        <v>33</v>
      </c>
      <c r="B44" s="64">
        <v>0</v>
      </c>
      <c r="C44" s="64">
        <v>0</v>
      </c>
      <c r="D44" s="64">
        <v>0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v>0</v>
      </c>
    </row>
    <row r="45" spans="1:16" s="62" customFormat="1" ht="12.75" x14ac:dyDescent="0.2">
      <c r="A45" s="63" t="s">
        <v>34</v>
      </c>
      <c r="B45" s="64">
        <v>0</v>
      </c>
      <c r="C45" s="64">
        <v>0</v>
      </c>
      <c r="D45" s="64">
        <v>0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v>0</v>
      </c>
    </row>
    <row r="46" spans="1:16" s="62" customFormat="1" ht="25.5" x14ac:dyDescent="0.2">
      <c r="A46" s="66" t="s">
        <v>35</v>
      </c>
      <c r="B46" s="64">
        <v>0</v>
      </c>
      <c r="C46" s="64">
        <v>0</v>
      </c>
      <c r="D46" s="64">
        <v>0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v>0</v>
      </c>
    </row>
    <row r="47" spans="1:16" s="62" customFormat="1" ht="12.75" x14ac:dyDescent="0.2">
      <c r="A47" s="60" t="s">
        <v>36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</row>
    <row r="48" spans="1:16" s="62" customFormat="1" ht="12.75" x14ac:dyDescent="0.2">
      <c r="A48" s="66" t="s">
        <v>37</v>
      </c>
      <c r="B48" s="64">
        <v>0</v>
      </c>
      <c r="C48" s="64">
        <v>0</v>
      </c>
      <c r="D48" s="64">
        <v>0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v>0</v>
      </c>
    </row>
    <row r="49" spans="1:16" s="62" customFormat="1" ht="11.25" customHeight="1" x14ac:dyDescent="0.2">
      <c r="A49" s="66" t="s">
        <v>38</v>
      </c>
      <c r="B49" s="64">
        <v>0</v>
      </c>
      <c r="C49" s="64">
        <v>0</v>
      </c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v>0</v>
      </c>
    </row>
    <row r="50" spans="1:16" s="62" customFormat="1" ht="11.25" customHeight="1" x14ac:dyDescent="0.2">
      <c r="A50" s="66" t="s">
        <v>39</v>
      </c>
      <c r="B50" s="64">
        <v>0</v>
      </c>
      <c r="C50" s="64">
        <v>0</v>
      </c>
      <c r="D50" s="64">
        <v>0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v>0</v>
      </c>
    </row>
    <row r="51" spans="1:16" s="62" customFormat="1" ht="25.5" x14ac:dyDescent="0.2">
      <c r="A51" s="66" t="s">
        <v>40</v>
      </c>
      <c r="B51" s="64">
        <v>0</v>
      </c>
      <c r="C51" s="64">
        <v>0</v>
      </c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v>0</v>
      </c>
    </row>
    <row r="52" spans="1:16" s="62" customFormat="1" ht="12.75" x14ac:dyDescent="0.2">
      <c r="A52" s="66" t="s">
        <v>41</v>
      </c>
      <c r="B52" s="64">
        <v>0</v>
      </c>
      <c r="C52" s="64">
        <v>0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v>0</v>
      </c>
    </row>
    <row r="53" spans="1:16" s="62" customFormat="1" ht="19.5" customHeight="1" x14ac:dyDescent="0.2">
      <c r="A53" s="66" t="s">
        <v>42</v>
      </c>
      <c r="B53" s="64">
        <v>0</v>
      </c>
      <c r="C53" s="64">
        <v>0</v>
      </c>
      <c r="D53" s="64">
        <v>0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v>0</v>
      </c>
    </row>
    <row r="54" spans="1:16" s="62" customFormat="1" ht="12.75" x14ac:dyDescent="0.2">
      <c r="A54" s="60" t="s">
        <v>43</v>
      </c>
      <c r="B54" s="61">
        <f>B55+B58+B59</f>
        <v>800000</v>
      </c>
      <c r="C54" s="61">
        <f>C55+C58+C59+C56+C62+C60</f>
        <v>1466500</v>
      </c>
      <c r="D54" s="61">
        <f>D55+D58+D59</f>
        <v>0</v>
      </c>
      <c r="E54" s="61">
        <f>E55+E58+E59</f>
        <v>0</v>
      </c>
      <c r="F54" s="61">
        <f>F55+F58+F59+F62</f>
        <v>78698.92</v>
      </c>
      <c r="G54" s="61">
        <f>G55+G58+G59</f>
        <v>0</v>
      </c>
      <c r="H54" s="61">
        <f>H56+H55+H60</f>
        <v>50032</v>
      </c>
      <c r="I54" s="61">
        <f t="shared" ref="I54:M54" si="7">I55+I58+I59</f>
        <v>0</v>
      </c>
      <c r="J54" s="61">
        <f t="shared" si="7"/>
        <v>494157.59</v>
      </c>
      <c r="K54" s="61">
        <f t="shared" si="7"/>
        <v>4163.04</v>
      </c>
      <c r="L54" s="61">
        <f>L55+L58+L59+L56</f>
        <v>250230.41999999998</v>
      </c>
      <c r="M54" s="61">
        <f t="shared" si="7"/>
        <v>0</v>
      </c>
      <c r="N54" s="61">
        <f>N55+N58+N59+N56+N62</f>
        <v>0</v>
      </c>
      <c r="O54" s="61">
        <f>O55+O58+O59+O56</f>
        <v>0</v>
      </c>
      <c r="P54" s="61">
        <f>SUM(D54:O54)</f>
        <v>877281.97</v>
      </c>
    </row>
    <row r="55" spans="1:16" s="62" customFormat="1" ht="12.75" x14ac:dyDescent="0.2">
      <c r="A55" s="66" t="s">
        <v>44</v>
      </c>
      <c r="B55" s="64">
        <v>550000</v>
      </c>
      <c r="C55" s="64">
        <v>1013768</v>
      </c>
      <c r="D55" s="64">
        <v>0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494157.59</v>
      </c>
      <c r="K55" s="64">
        <v>0</v>
      </c>
      <c r="L55" s="64">
        <v>13572.36</v>
      </c>
      <c r="M55" s="64">
        <v>0</v>
      </c>
      <c r="N55" s="64">
        <v>0</v>
      </c>
      <c r="O55" s="64">
        <v>0</v>
      </c>
      <c r="P55" s="64">
        <f>SUM(D55:O55)</f>
        <v>507729.95</v>
      </c>
    </row>
    <row r="56" spans="1:16" s="62" customFormat="1" ht="25.5" x14ac:dyDescent="0.2">
      <c r="A56" s="66" t="s">
        <v>45</v>
      </c>
      <c r="B56" s="64">
        <v>0</v>
      </c>
      <c r="C56" s="64">
        <v>270000</v>
      </c>
      <c r="D56" s="64">
        <v>0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236658.06</v>
      </c>
      <c r="M56" s="64">
        <v>0</v>
      </c>
      <c r="N56" s="64">
        <v>0</v>
      </c>
      <c r="O56" s="64">
        <v>0</v>
      </c>
      <c r="P56" s="64">
        <f>SUM(D56:O56)</f>
        <v>236658.06</v>
      </c>
    </row>
    <row r="57" spans="1:16" s="62" customFormat="1" ht="12.75" x14ac:dyDescent="0.2">
      <c r="A57" s="66" t="s">
        <v>46</v>
      </c>
      <c r="B57" s="64">
        <v>0</v>
      </c>
      <c r="C57" s="64">
        <v>0</v>
      </c>
      <c r="D57" s="64">
        <v>0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ref="P57:P59" si="8">SUM(D57:O57)</f>
        <v>0</v>
      </c>
    </row>
    <row r="58" spans="1:16" s="62" customFormat="1" ht="17.25" customHeight="1" x14ac:dyDescent="0.2">
      <c r="A58" s="66" t="s">
        <v>47</v>
      </c>
      <c r="B58" s="64">
        <v>0</v>
      </c>
      <c r="C58" s="64">
        <v>0</v>
      </c>
      <c r="D58" s="64">
        <v>0</v>
      </c>
      <c r="E58" s="64">
        <v>0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8"/>
        <v>0</v>
      </c>
    </row>
    <row r="59" spans="1:16" s="62" customFormat="1" ht="12.75" x14ac:dyDescent="0.2">
      <c r="A59" s="66" t="s">
        <v>48</v>
      </c>
      <c r="B59" s="64">
        <v>250000</v>
      </c>
      <c r="C59" s="64">
        <v>132700</v>
      </c>
      <c r="D59" s="64">
        <v>0</v>
      </c>
      <c r="E59" s="64">
        <v>0</v>
      </c>
      <c r="F59" s="64">
        <v>78698.92</v>
      </c>
      <c r="G59" s="64">
        <v>0</v>
      </c>
      <c r="H59" s="64">
        <v>0</v>
      </c>
      <c r="I59" s="64">
        <v>0</v>
      </c>
      <c r="J59" s="64">
        <v>0</v>
      </c>
      <c r="K59" s="64">
        <v>4163.04</v>
      </c>
      <c r="L59" s="64">
        <v>0</v>
      </c>
      <c r="M59" s="64">
        <v>0</v>
      </c>
      <c r="N59" s="64">
        <v>0</v>
      </c>
      <c r="O59" s="64">
        <v>0</v>
      </c>
      <c r="P59" s="64">
        <f t="shared" si="8"/>
        <v>82861.959999999992</v>
      </c>
    </row>
    <row r="60" spans="1:16" s="62" customFormat="1" ht="12.75" x14ac:dyDescent="0.2">
      <c r="A60" s="66" t="s">
        <v>49</v>
      </c>
      <c r="B60" s="64">
        <v>0</v>
      </c>
      <c r="C60" s="64">
        <v>50032</v>
      </c>
      <c r="D60" s="64">
        <v>0</v>
      </c>
      <c r="E60" s="64">
        <v>0</v>
      </c>
      <c r="F60" s="64">
        <v>0</v>
      </c>
      <c r="G60" s="64">
        <v>0</v>
      </c>
      <c r="H60" s="64">
        <v>50032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v>0</v>
      </c>
    </row>
    <row r="61" spans="1:16" s="62" customFormat="1" ht="12.75" x14ac:dyDescent="0.2">
      <c r="A61" s="63" t="s">
        <v>50</v>
      </c>
      <c r="B61" s="64">
        <v>0</v>
      </c>
      <c r="C61" s="64">
        <v>0</v>
      </c>
      <c r="D61" s="64">
        <v>0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v>0</v>
      </c>
    </row>
    <row r="62" spans="1:16" s="62" customFormat="1" ht="12.75" x14ac:dyDescent="0.2">
      <c r="A62" s="63" t="s">
        <v>51</v>
      </c>
      <c r="B62" s="64">
        <v>0</v>
      </c>
      <c r="C62" s="64">
        <v>0</v>
      </c>
      <c r="D62" s="64">
        <v>0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>SUM(D62:O62)</f>
        <v>0</v>
      </c>
    </row>
    <row r="63" spans="1:16" s="62" customFormat="1" ht="25.5" x14ac:dyDescent="0.2">
      <c r="A63" s="66" t="s">
        <v>52</v>
      </c>
      <c r="B63" s="64">
        <v>0</v>
      </c>
      <c r="C63" s="64">
        <v>0</v>
      </c>
      <c r="D63" s="64">
        <v>0</v>
      </c>
      <c r="E63" s="64">
        <v>0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v>0</v>
      </c>
    </row>
    <row r="64" spans="1:16" s="62" customFormat="1" ht="12.75" x14ac:dyDescent="0.2">
      <c r="A64" s="60" t="s">
        <v>53</v>
      </c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</row>
    <row r="65" spans="1:16" s="62" customFormat="1" ht="12.75" x14ac:dyDescent="0.2">
      <c r="A65" s="63" t="s">
        <v>54</v>
      </c>
      <c r="B65" s="64">
        <v>0</v>
      </c>
      <c r="C65" s="64">
        <v>0</v>
      </c>
      <c r="D65" s="64">
        <v>0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v>0</v>
      </c>
    </row>
    <row r="66" spans="1:16" s="62" customFormat="1" ht="12.75" x14ac:dyDescent="0.2">
      <c r="A66" s="63" t="s">
        <v>55</v>
      </c>
      <c r="B66" s="64">
        <v>0</v>
      </c>
      <c r="C66" s="64">
        <v>0</v>
      </c>
      <c r="D66" s="64">
        <v>0</v>
      </c>
      <c r="E66" s="64">
        <v>0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v>0</v>
      </c>
    </row>
    <row r="67" spans="1:16" s="62" customFormat="1" ht="12.75" x14ac:dyDescent="0.2">
      <c r="A67" s="63" t="s">
        <v>56</v>
      </c>
      <c r="B67" s="64">
        <v>0</v>
      </c>
      <c r="C67" s="64">
        <v>0</v>
      </c>
      <c r="D67" s="64">
        <v>0</v>
      </c>
      <c r="E67" s="64">
        <v>0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v>0</v>
      </c>
    </row>
    <row r="68" spans="1:16" s="62" customFormat="1" ht="25.5" x14ac:dyDescent="0.2">
      <c r="A68" s="66" t="s">
        <v>57</v>
      </c>
      <c r="B68" s="64">
        <v>0</v>
      </c>
      <c r="C68" s="64">
        <v>0</v>
      </c>
      <c r="D68" s="64">
        <v>0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v>0</v>
      </c>
    </row>
    <row r="69" spans="1:16" s="62" customFormat="1" ht="12.75" x14ac:dyDescent="0.2">
      <c r="A69" s="60" t="s">
        <v>58</v>
      </c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</row>
    <row r="70" spans="1:16" s="62" customFormat="1" ht="12.75" x14ac:dyDescent="0.2">
      <c r="A70" s="63" t="s">
        <v>59</v>
      </c>
      <c r="B70" s="64">
        <v>0</v>
      </c>
      <c r="C70" s="64">
        <v>0</v>
      </c>
      <c r="D70" s="64">
        <v>0</v>
      </c>
      <c r="E70" s="64">
        <v>0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v>0</v>
      </c>
    </row>
    <row r="71" spans="1:16" s="62" customFormat="1" ht="25.5" x14ac:dyDescent="0.2">
      <c r="A71" s="66" t="s">
        <v>60</v>
      </c>
      <c r="B71" s="64">
        <v>0</v>
      </c>
      <c r="C71" s="64">
        <v>0</v>
      </c>
      <c r="D71" s="64">
        <v>0</v>
      </c>
      <c r="E71" s="64">
        <v>0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v>0</v>
      </c>
    </row>
    <row r="72" spans="1:16" s="62" customFormat="1" ht="12.75" x14ac:dyDescent="0.2">
      <c r="A72" s="60" t="s">
        <v>61</v>
      </c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</row>
    <row r="73" spans="1:16" s="62" customFormat="1" ht="12.75" x14ac:dyDescent="0.2">
      <c r="A73" s="63" t="s">
        <v>62</v>
      </c>
      <c r="B73" s="64">
        <v>0</v>
      </c>
      <c r="C73" s="64">
        <v>0</v>
      </c>
      <c r="D73" s="64">
        <v>0</v>
      </c>
      <c r="E73" s="64">
        <v>0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v>0</v>
      </c>
    </row>
    <row r="74" spans="1:16" s="62" customFormat="1" ht="12.75" x14ac:dyDescent="0.2">
      <c r="A74" s="63" t="s">
        <v>63</v>
      </c>
      <c r="B74" s="64">
        <v>0</v>
      </c>
      <c r="C74" s="64">
        <v>0</v>
      </c>
      <c r="D74" s="64">
        <v>0</v>
      </c>
      <c r="E74" s="64">
        <v>0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v>0</v>
      </c>
    </row>
    <row r="75" spans="1:16" s="62" customFormat="1" ht="25.5" x14ac:dyDescent="0.2">
      <c r="A75" s="66" t="s">
        <v>64</v>
      </c>
      <c r="B75" s="64">
        <v>0</v>
      </c>
      <c r="C75" s="64">
        <v>0</v>
      </c>
      <c r="D75" s="64">
        <v>0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v>0</v>
      </c>
    </row>
    <row r="76" spans="1:16" s="62" customFormat="1" ht="12.75" x14ac:dyDescent="0.2">
      <c r="A76" s="67" t="s">
        <v>67</v>
      </c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</row>
    <row r="77" spans="1:16" s="62" customFormat="1" ht="12.75" x14ac:dyDescent="0.2">
      <c r="A77" s="60" t="s">
        <v>68</v>
      </c>
      <c r="B77" s="61"/>
      <c r="C77" s="61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s="62" customFormat="1" ht="12.75" x14ac:dyDescent="0.2">
      <c r="A78" s="63" t="s">
        <v>69</v>
      </c>
      <c r="B78" s="64">
        <v>0</v>
      </c>
      <c r="C78" s="64">
        <v>0</v>
      </c>
      <c r="D78" s="64">
        <v>0</v>
      </c>
      <c r="E78" s="64">
        <v>0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v>0</v>
      </c>
    </row>
    <row r="79" spans="1:16" s="62" customFormat="1" ht="12.75" x14ac:dyDescent="0.2">
      <c r="A79" s="63" t="s">
        <v>70</v>
      </c>
      <c r="B79" s="64">
        <v>0</v>
      </c>
      <c r="C79" s="64">
        <v>0</v>
      </c>
      <c r="D79" s="64">
        <v>0</v>
      </c>
      <c r="E79" s="64">
        <v>0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v>0</v>
      </c>
    </row>
    <row r="80" spans="1:16" s="62" customFormat="1" ht="12.75" x14ac:dyDescent="0.2">
      <c r="A80" s="60" t="s">
        <v>71</v>
      </c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</row>
    <row r="81" spans="1:16" s="62" customFormat="1" ht="12.75" x14ac:dyDescent="0.2">
      <c r="A81" s="63" t="s">
        <v>72</v>
      </c>
      <c r="B81" s="64">
        <v>0</v>
      </c>
      <c r="C81" s="64">
        <v>0</v>
      </c>
      <c r="D81" s="64">
        <v>0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v>0</v>
      </c>
    </row>
    <row r="82" spans="1:16" s="62" customFormat="1" ht="12.75" x14ac:dyDescent="0.2">
      <c r="A82" s="63" t="s">
        <v>73</v>
      </c>
      <c r="B82" s="64">
        <v>0</v>
      </c>
      <c r="C82" s="64">
        <v>0</v>
      </c>
      <c r="D82" s="64">
        <v>0</v>
      </c>
      <c r="E82" s="64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v>0</v>
      </c>
    </row>
    <row r="83" spans="1:16" s="62" customFormat="1" ht="12.75" x14ac:dyDescent="0.2">
      <c r="A83" s="60" t="s">
        <v>74</v>
      </c>
      <c r="B83" s="61">
        <v>0</v>
      </c>
      <c r="C83" s="61">
        <v>0</v>
      </c>
      <c r="D83" s="61">
        <v>0</v>
      </c>
      <c r="E83" s="61">
        <v>0</v>
      </c>
      <c r="F83" s="61">
        <v>0</v>
      </c>
      <c r="G83" s="61">
        <v>0</v>
      </c>
      <c r="H83" s="61">
        <v>0</v>
      </c>
      <c r="I83" s="61">
        <v>0</v>
      </c>
      <c r="J83" s="61">
        <v>0</v>
      </c>
      <c r="K83" s="61">
        <v>0</v>
      </c>
      <c r="L83" s="61">
        <v>0</v>
      </c>
      <c r="M83" s="61">
        <v>0</v>
      </c>
      <c r="N83" s="61">
        <v>0</v>
      </c>
      <c r="O83" s="61">
        <v>0</v>
      </c>
      <c r="P83" s="61">
        <v>0</v>
      </c>
    </row>
    <row r="84" spans="1:16" s="62" customFormat="1" ht="12.75" x14ac:dyDescent="0.2">
      <c r="A84" s="63" t="s">
        <v>75</v>
      </c>
      <c r="B84" s="64">
        <v>0</v>
      </c>
      <c r="C84" s="64">
        <v>0</v>
      </c>
      <c r="D84" s="64">
        <v>0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v>0</v>
      </c>
    </row>
    <row r="85" spans="1:16" x14ac:dyDescent="0.25">
      <c r="A85" s="9" t="s">
        <v>65</v>
      </c>
      <c r="B85" s="27">
        <f>B54+B38+B28+B18+B12</f>
        <v>329086705</v>
      </c>
      <c r="C85" s="27">
        <f>C54+C38+C28+C18+C12</f>
        <v>365667914.40999997</v>
      </c>
      <c r="D85" s="27">
        <f t="shared" ref="D85:P85" si="9">D54+D38+D28+D18+D12</f>
        <v>21115559.48</v>
      </c>
      <c r="E85" s="27">
        <f t="shared" si="9"/>
        <v>23527111.510000002</v>
      </c>
      <c r="F85" s="27">
        <f t="shared" si="9"/>
        <v>26609292.530000001</v>
      </c>
      <c r="G85" s="27">
        <f>G54+G38+G28+G18+G12</f>
        <v>33869000.619999997</v>
      </c>
      <c r="H85" s="27">
        <f t="shared" si="9"/>
        <v>22760804.329999998</v>
      </c>
      <c r="I85" s="27">
        <f t="shared" si="9"/>
        <v>29618918.339999996</v>
      </c>
      <c r="J85" s="27">
        <f t="shared" si="9"/>
        <v>25722055.670000002</v>
      </c>
      <c r="K85" s="27">
        <f t="shared" si="9"/>
        <v>23210869.670000002</v>
      </c>
      <c r="L85" s="27">
        <f t="shared" si="9"/>
        <v>22977253.09</v>
      </c>
      <c r="M85" s="27">
        <f t="shared" si="9"/>
        <v>0</v>
      </c>
      <c r="N85" s="27">
        <f t="shared" si="9"/>
        <v>0</v>
      </c>
      <c r="O85" s="27">
        <f t="shared" si="9"/>
        <v>0</v>
      </c>
      <c r="P85" s="27">
        <f t="shared" si="9"/>
        <v>229410865.24000001</v>
      </c>
    </row>
    <row r="86" spans="1:16" ht="15.75" thickBot="1" x14ac:dyDescent="0.3"/>
    <row r="87" spans="1:16" ht="30.75" thickBot="1" x14ac:dyDescent="0.3">
      <c r="A87" s="20" t="s">
        <v>95</v>
      </c>
      <c r="B87" s="39"/>
    </row>
    <row r="88" spans="1:16" ht="30.75" thickBot="1" x14ac:dyDescent="0.3">
      <c r="A88" s="20" t="s">
        <v>96</v>
      </c>
    </row>
    <row r="89" spans="1:16" ht="60.75" thickBot="1" x14ac:dyDescent="0.3">
      <c r="A89" s="21" t="s">
        <v>97</v>
      </c>
      <c r="C89" s="28"/>
    </row>
    <row r="90" spans="1:16" ht="4.5" customHeight="1" x14ac:dyDescent="0.25"/>
    <row r="91" spans="1:16" s="55" customFormat="1" x14ac:dyDescent="0.25">
      <c r="A91" s="69"/>
      <c r="B91" s="69" t="s">
        <v>101</v>
      </c>
      <c r="F91" s="69" t="s">
        <v>102</v>
      </c>
      <c r="H91" s="70"/>
      <c r="J91" s="71"/>
    </row>
    <row r="92" spans="1:16" s="55" customFormat="1" ht="34.5" customHeight="1" x14ac:dyDescent="0.25">
      <c r="A92" s="72"/>
      <c r="B92" s="72" t="s">
        <v>103</v>
      </c>
      <c r="C92" s="70"/>
      <c r="F92" s="72" t="s">
        <v>103</v>
      </c>
      <c r="H92" s="72"/>
    </row>
    <row r="93" spans="1:16" s="55" customFormat="1" x14ac:dyDescent="0.25">
      <c r="A93" s="70"/>
      <c r="B93" s="70" t="s">
        <v>104</v>
      </c>
      <c r="C93" s="70"/>
      <c r="F93" s="70" t="s">
        <v>105</v>
      </c>
      <c r="G93" s="73" t="s">
        <v>111</v>
      </c>
      <c r="H93" s="73"/>
      <c r="I93" s="73"/>
      <c r="J93" s="73"/>
    </row>
    <row r="94" spans="1:16" s="55" customFormat="1" x14ac:dyDescent="0.25">
      <c r="A94" s="69"/>
      <c r="B94" s="69" t="s">
        <v>106</v>
      </c>
      <c r="C94" s="69"/>
      <c r="F94" s="69" t="s">
        <v>116</v>
      </c>
      <c r="H94" s="69"/>
    </row>
    <row r="95" spans="1:16" s="55" customFormat="1" x14ac:dyDescent="0.25"/>
    <row r="96" spans="1:16" ht="18.75" x14ac:dyDescent="0.25">
      <c r="B96" s="31"/>
    </row>
  </sheetData>
  <mergeCells count="10">
    <mergeCell ref="G93:J93"/>
    <mergeCell ref="A7:P7"/>
    <mergeCell ref="D9:P9"/>
    <mergeCell ref="A3:P3"/>
    <mergeCell ref="A4:P4"/>
    <mergeCell ref="A9:A10"/>
    <mergeCell ref="B9:B10"/>
    <mergeCell ref="C9:C10"/>
    <mergeCell ref="A5:P5"/>
    <mergeCell ref="A6:P6"/>
  </mergeCells>
  <pageMargins left="0.11811023622047245" right="0.11811023622047245" top="0.19685039370078741" bottom="0.35433070866141736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1"/>
  <sheetViews>
    <sheetView showGridLines="0" topLeftCell="A68" zoomScaleNormal="100" workbookViewId="0">
      <selection activeCell="K83" sqref="K83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44" t="s">
        <v>109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5" ht="21" customHeight="1" x14ac:dyDescent="0.25">
      <c r="A3" s="46" t="s">
        <v>100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5" ht="15.75" x14ac:dyDescent="0.25">
      <c r="A4" s="51">
        <v>2026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15" ht="15.75" customHeight="1" x14ac:dyDescent="0.25">
      <c r="A5" s="53" t="s">
        <v>92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5" ht="15.75" customHeight="1" x14ac:dyDescent="0.25">
      <c r="A6" s="40" t="s">
        <v>77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4" t="s">
        <v>87</v>
      </c>
      <c r="K8" s="34" t="s">
        <v>88</v>
      </c>
      <c r="L8" s="34" t="s">
        <v>89</v>
      </c>
      <c r="M8" s="34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16468246.950000001</v>
      </c>
      <c r="C10" s="25">
        <f t="shared" ref="C10:M10" si="0">C11+C12+C15</f>
        <v>17894777.140000001</v>
      </c>
      <c r="D10" s="25">
        <f t="shared" si="0"/>
        <v>17140657.43</v>
      </c>
      <c r="E10" s="25">
        <f t="shared" si="0"/>
        <v>28782888.059999999</v>
      </c>
      <c r="F10" s="25">
        <f t="shared" si="0"/>
        <v>16753187.51</v>
      </c>
      <c r="G10" s="25">
        <f t="shared" si="0"/>
        <v>17567383.010000002</v>
      </c>
      <c r="H10" s="25">
        <f t="shared" si="0"/>
        <v>16883280.48</v>
      </c>
      <c r="I10" s="25">
        <f>I11+I12+I15</f>
        <v>16708157.76</v>
      </c>
      <c r="J10" s="25">
        <f t="shared" si="0"/>
        <v>16410542.58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164609120.92000002</v>
      </c>
    </row>
    <row r="11" spans="1:15" ht="17.25" customHeight="1" x14ac:dyDescent="0.25">
      <c r="A11" s="5" t="s">
        <v>2</v>
      </c>
      <c r="B11" s="24">
        <v>14362311.720000001</v>
      </c>
      <c r="C11" s="24">
        <v>15340960.15</v>
      </c>
      <c r="D11" s="24">
        <v>14810559.210000001</v>
      </c>
      <c r="E11" s="24">
        <v>26439393.219999999</v>
      </c>
      <c r="F11" s="24">
        <f>13491624.36+160000+85000+608000</f>
        <v>14344624.359999999</v>
      </c>
      <c r="G11" s="24">
        <v>14957073.630000001</v>
      </c>
      <c r="H11" s="24">
        <v>14392374.359999999</v>
      </c>
      <c r="I11" s="24">
        <v>14221142.24</v>
      </c>
      <c r="J11" s="24">
        <v>13905374.359999999</v>
      </c>
      <c r="K11" s="24">
        <v>0</v>
      </c>
      <c r="L11" s="24">
        <v>0</v>
      </c>
      <c r="M11" s="24">
        <v>0</v>
      </c>
      <c r="N11" s="24">
        <f>SUM(B11:M11)</f>
        <v>142773813.25</v>
      </c>
    </row>
    <row r="12" spans="1:15" ht="17.25" customHeight="1" x14ac:dyDescent="0.25">
      <c r="A12" s="5" t="s">
        <v>3</v>
      </c>
      <c r="B12" s="24">
        <v>333500</v>
      </c>
      <c r="C12" s="24">
        <v>333500</v>
      </c>
      <c r="D12" s="24">
        <v>333500</v>
      </c>
      <c r="E12" s="24">
        <v>333500</v>
      </c>
      <c r="F12" s="24">
        <v>333500</v>
      </c>
      <c r="G12" s="24">
        <v>475500</v>
      </c>
      <c r="H12" s="24">
        <v>393143</v>
      </c>
      <c r="I12" s="24">
        <v>415857</v>
      </c>
      <c r="J12" s="24">
        <v>404500</v>
      </c>
      <c r="K12" s="24">
        <v>0</v>
      </c>
      <c r="L12" s="24">
        <v>0</v>
      </c>
      <c r="M12" s="24">
        <v>0</v>
      </c>
      <c r="N12" s="24">
        <f>SUM(B12:M12)</f>
        <v>3356500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1772435.23</v>
      </c>
      <c r="C15" s="24">
        <v>2220316.9900000002</v>
      </c>
      <c r="D15" s="24">
        <v>1996598.22</v>
      </c>
      <c r="E15" s="24">
        <v>2009994.84</v>
      </c>
      <c r="F15" s="24">
        <v>2075063.15</v>
      </c>
      <c r="G15" s="24">
        <v>2134809.38</v>
      </c>
      <c r="H15" s="24">
        <v>2097763.12</v>
      </c>
      <c r="I15" s="24">
        <v>2071158.52</v>
      </c>
      <c r="J15" s="24">
        <v>2100668.2200000002</v>
      </c>
      <c r="K15" s="24">
        <v>0</v>
      </c>
      <c r="L15" s="24">
        <v>0</v>
      </c>
      <c r="M15" s="24">
        <v>0</v>
      </c>
      <c r="N15" s="24">
        <f>SUM(B15:M15)</f>
        <v>18478807.669999998</v>
      </c>
    </row>
    <row r="16" spans="1:15" ht="17.25" customHeight="1" x14ac:dyDescent="0.25">
      <c r="A16" s="3" t="s">
        <v>7</v>
      </c>
      <c r="B16" s="25">
        <f t="shared" ref="B16:I16" si="1">B17+B18+B19+B20+B21+B22+B23+B24+B25</f>
        <v>4195312.5299999993</v>
      </c>
      <c r="C16" s="25">
        <f t="shared" si="1"/>
        <v>5136944.09</v>
      </c>
      <c r="D16" s="25">
        <f t="shared" si="1"/>
        <v>8706612.4900000002</v>
      </c>
      <c r="E16" s="25">
        <f>E17+E18+E19+E20+E21+E22+E23+E24+E25</f>
        <v>4273732.0500000007</v>
      </c>
      <c r="F16" s="25">
        <f t="shared" si="1"/>
        <v>5408974.8200000003</v>
      </c>
      <c r="G16" s="25">
        <f>G17+G18+G19+G20+G21+G22+G23+G24+G25</f>
        <v>11222477.609999999</v>
      </c>
      <c r="H16" s="25">
        <f t="shared" si="1"/>
        <v>7108510.9700000007</v>
      </c>
      <c r="I16" s="25">
        <f t="shared" si="1"/>
        <v>5178562.34</v>
      </c>
      <c r="J16" s="25">
        <f>J17+J18+J19+J20+J21+J22+J23+J24+J25</f>
        <v>5438359.1000000006</v>
      </c>
      <c r="K16" s="25">
        <f t="shared" ref="K16" si="2">K17+K18+K19+K20+K21+K22+K23+K24</f>
        <v>0</v>
      </c>
      <c r="L16" s="25">
        <f>L17+L18+L19+L20+L21+L22+L23+L24+L25</f>
        <v>0</v>
      </c>
      <c r="M16" s="25">
        <f>M17+M18+M19+M20+M21+M22+M23+M24+M25</f>
        <v>0</v>
      </c>
      <c r="N16" s="25">
        <f>N17+N18+N19+N20+N21+N22+N23+N24+N25</f>
        <v>56669485.999999993</v>
      </c>
    </row>
    <row r="17" spans="1:14" ht="17.25" customHeight="1" x14ac:dyDescent="0.25">
      <c r="A17" s="5" t="s">
        <v>8</v>
      </c>
      <c r="B17" s="24">
        <v>3280602.32</v>
      </c>
      <c r="C17" s="24">
        <v>2105654.46</v>
      </c>
      <c r="D17" s="24">
        <v>2390342.66</v>
      </c>
      <c r="E17" s="24">
        <v>2192805.87</v>
      </c>
      <c r="F17" s="24">
        <f>425416.47+164525.46+814484.77+454496.9+3094+2500</f>
        <v>1864517.6</v>
      </c>
      <c r="G17" s="24">
        <v>2192056.7200000002</v>
      </c>
      <c r="H17" s="24">
        <v>2170793.0099999998</v>
      </c>
      <c r="I17" s="24">
        <f>442898.62+170449.28+912431.6+642323.11+3094+2500</f>
        <v>2173696.61</v>
      </c>
      <c r="J17" s="24">
        <v>2111782.9500000002</v>
      </c>
      <c r="K17" s="24">
        <v>0</v>
      </c>
      <c r="L17" s="24">
        <v>0</v>
      </c>
      <c r="M17" s="24">
        <v>0</v>
      </c>
      <c r="N17" s="24">
        <f>SUM(B17:M17)</f>
        <v>20482252.199999999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14348.8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3">SUM(B18:M18)</f>
        <v>14348.8</v>
      </c>
    </row>
    <row r="19" spans="1:14" ht="17.25" customHeight="1" x14ac:dyDescent="0.25">
      <c r="A19" s="5" t="s">
        <v>10</v>
      </c>
      <c r="B19" s="24">
        <v>23335</v>
      </c>
      <c r="C19" s="24">
        <v>1380385</v>
      </c>
      <c r="D19" s="24">
        <v>2238100</v>
      </c>
      <c r="E19" s="24">
        <v>258797.5</v>
      </c>
      <c r="F19" s="24">
        <v>178047.5</v>
      </c>
      <c r="G19" s="24">
        <v>214919.9</v>
      </c>
      <c r="H19" s="24">
        <v>157933.34</v>
      </c>
      <c r="I19" s="24">
        <v>39845</v>
      </c>
      <c r="J19" s="24">
        <v>231670.16</v>
      </c>
      <c r="K19" s="24">
        <v>0</v>
      </c>
      <c r="L19" s="24">
        <v>0</v>
      </c>
      <c r="M19" s="24">
        <v>0</v>
      </c>
      <c r="N19" s="24">
        <f t="shared" si="3"/>
        <v>4723033.4000000004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65228.639999999999</v>
      </c>
      <c r="K20" s="24">
        <v>0</v>
      </c>
      <c r="L20" s="24">
        <v>0</v>
      </c>
      <c r="M20" s="24">
        <v>0</v>
      </c>
      <c r="N20" s="24">
        <f t="shared" si="3"/>
        <v>65228.639999999999</v>
      </c>
    </row>
    <row r="21" spans="1:14" ht="17.25" customHeight="1" x14ac:dyDescent="0.25">
      <c r="A21" s="5" t="s">
        <v>12</v>
      </c>
      <c r="B21" s="24">
        <v>81184</v>
      </c>
      <c r="C21" s="24">
        <v>0</v>
      </c>
      <c r="D21" s="24">
        <v>1053902.8400000001</v>
      </c>
      <c r="E21" s="24">
        <v>212566.88</v>
      </c>
      <c r="F21" s="24">
        <f>81184+23000</f>
        <v>104184</v>
      </c>
      <c r="G21" s="24">
        <v>7728143.3899999997</v>
      </c>
      <c r="H21" s="24">
        <v>2654254.15</v>
      </c>
      <c r="I21" s="24">
        <v>865574.42</v>
      </c>
      <c r="J21" s="24">
        <v>1515651.08</v>
      </c>
      <c r="K21" s="24">
        <v>0</v>
      </c>
      <c r="L21" s="24">
        <v>0</v>
      </c>
      <c r="M21" s="24">
        <v>0</v>
      </c>
      <c r="N21" s="24">
        <f t="shared" si="3"/>
        <v>14215460.76</v>
      </c>
    </row>
    <row r="22" spans="1:14" ht="17.25" customHeight="1" x14ac:dyDescent="0.25">
      <c r="A22" s="5" t="s">
        <v>13</v>
      </c>
      <c r="B22" s="24">
        <v>660239.43999999994</v>
      </c>
      <c r="C22" s="24">
        <v>1366288.89</v>
      </c>
      <c r="D22" s="24">
        <v>953165.64</v>
      </c>
      <c r="E22" s="24">
        <v>1258235.25</v>
      </c>
      <c r="F22" s="24">
        <v>1392878.65</v>
      </c>
      <c r="G22" s="24">
        <v>684422.25</v>
      </c>
      <c r="H22" s="24">
        <v>1104982.1499999999</v>
      </c>
      <c r="I22" s="24">
        <v>1472679.09</v>
      </c>
      <c r="J22" s="24">
        <v>1420912.11</v>
      </c>
      <c r="K22" s="24">
        <v>0</v>
      </c>
      <c r="L22" s="24">
        <v>0</v>
      </c>
      <c r="M22" s="24">
        <v>0</v>
      </c>
      <c r="N22" s="24">
        <f t="shared" si="3"/>
        <v>10313803.469999999</v>
      </c>
    </row>
    <row r="23" spans="1:14" ht="27" customHeight="1" x14ac:dyDescent="0.25">
      <c r="A23" s="28" t="s">
        <v>14</v>
      </c>
      <c r="B23" s="24">
        <v>0</v>
      </c>
      <c r="C23" s="24">
        <v>81793.66</v>
      </c>
      <c r="D23" s="24">
        <v>159418</v>
      </c>
      <c r="E23" s="24">
        <v>25299.200000000001</v>
      </c>
      <c r="F23" s="24">
        <f>603254.73+931282.17+41300</f>
        <v>1575836.9</v>
      </c>
      <c r="G23" s="24">
        <v>41300</v>
      </c>
      <c r="H23" s="24">
        <v>565391.66</v>
      </c>
      <c r="I23" s="24">
        <v>41300</v>
      </c>
      <c r="J23" s="24">
        <v>47691.9</v>
      </c>
      <c r="K23" s="24">
        <v>0</v>
      </c>
      <c r="L23" s="24">
        <v>0</v>
      </c>
      <c r="M23" s="24">
        <v>0</v>
      </c>
      <c r="N23" s="24">
        <f t="shared" si="3"/>
        <v>2538031.3199999998</v>
      </c>
    </row>
    <row r="24" spans="1:14" ht="17.25" customHeight="1" x14ac:dyDescent="0.25">
      <c r="A24" s="5" t="s">
        <v>15</v>
      </c>
      <c r="B24" s="24">
        <v>16000</v>
      </c>
      <c r="C24" s="24">
        <v>110370.5</v>
      </c>
      <c r="D24" s="24">
        <v>1079230.3</v>
      </c>
      <c r="E24" s="24">
        <v>295759.12</v>
      </c>
      <c r="F24" s="24">
        <f>58969.5+16000+50000</f>
        <v>124969.5</v>
      </c>
      <c r="G24" s="24">
        <v>57064</v>
      </c>
      <c r="H24" s="24">
        <v>221921.05</v>
      </c>
      <c r="I24" s="24">
        <v>80192</v>
      </c>
      <c r="J24" s="24">
        <v>45422.26</v>
      </c>
      <c r="K24" s="24">
        <v>0</v>
      </c>
      <c r="L24" s="24">
        <v>0</v>
      </c>
      <c r="M24" s="24">
        <v>0</v>
      </c>
      <c r="N24" s="24">
        <f>SUM(B24:M24)</f>
        <v>2030928.73</v>
      </c>
    </row>
    <row r="25" spans="1:14" ht="17.25" customHeight="1" x14ac:dyDescent="0.25">
      <c r="A25" s="5" t="s">
        <v>16</v>
      </c>
      <c r="B25" s="24">
        <v>133951.76999999999</v>
      </c>
      <c r="C25" s="24">
        <v>92451.58</v>
      </c>
      <c r="D25" s="24">
        <v>832453.05</v>
      </c>
      <c r="E25" s="24">
        <v>30268.23</v>
      </c>
      <c r="F25" s="24">
        <v>168540.67</v>
      </c>
      <c r="G25" s="24">
        <v>304571.34999999998</v>
      </c>
      <c r="H25" s="24">
        <v>233235.61</v>
      </c>
      <c r="I25" s="24">
        <v>490926.42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2286398.6799999997</v>
      </c>
    </row>
    <row r="26" spans="1:14" ht="17.25" customHeight="1" x14ac:dyDescent="0.25">
      <c r="A26" s="3" t="s">
        <v>17</v>
      </c>
      <c r="B26" s="25">
        <f>B27+B28+B29+B30+B31+B32+B33</f>
        <v>452000</v>
      </c>
      <c r="C26" s="25">
        <f>C27+C28+C29+C30+C31+C32+C33+C35</f>
        <v>495390.28</v>
      </c>
      <c r="D26" s="25">
        <f>D27+D28+D29+D30+D31+D32+D33+D35</f>
        <v>683323.69</v>
      </c>
      <c r="E26" s="25">
        <f>E27+E28+E29+E30+E31+E32+E35+E33</f>
        <v>792380.51</v>
      </c>
      <c r="F26" s="25">
        <f t="shared" ref="F26:N26" si="4">F27+F28+F29+F30+F31+F32+F33+F35</f>
        <v>548610</v>
      </c>
      <c r="G26" s="25">
        <f t="shared" si="4"/>
        <v>829057.72</v>
      </c>
      <c r="H26" s="25">
        <f t="shared" si="4"/>
        <v>1216106.6299999999</v>
      </c>
      <c r="I26" s="25">
        <f t="shared" si="4"/>
        <v>1319986.5300000003</v>
      </c>
      <c r="J26" s="25">
        <f t="shared" si="4"/>
        <v>878120.99</v>
      </c>
      <c r="K26" s="25">
        <f t="shared" si="4"/>
        <v>0</v>
      </c>
      <c r="L26" s="25">
        <f t="shared" si="4"/>
        <v>0</v>
      </c>
      <c r="M26" s="25">
        <f t="shared" si="4"/>
        <v>0</v>
      </c>
      <c r="N26" s="25">
        <f t="shared" si="4"/>
        <v>7214976.3499999996</v>
      </c>
    </row>
    <row r="27" spans="1:14" ht="17.25" customHeight="1" x14ac:dyDescent="0.25">
      <c r="A27" s="5" t="s">
        <v>18</v>
      </c>
      <c r="B27" s="24">
        <v>0</v>
      </c>
      <c r="C27" s="24">
        <v>29480</v>
      </c>
      <c r="D27" s="24">
        <v>15420</v>
      </c>
      <c r="E27" s="24">
        <v>248319.51</v>
      </c>
      <c r="F27" s="24">
        <v>9360</v>
      </c>
      <c r="G27" s="24">
        <v>38259</v>
      </c>
      <c r="H27" s="24">
        <v>9000</v>
      </c>
      <c r="I27" s="24">
        <v>33753</v>
      </c>
      <c r="J27" s="24">
        <v>76281.210000000006</v>
      </c>
      <c r="K27" s="24">
        <v>0</v>
      </c>
      <c r="L27" s="24">
        <v>0</v>
      </c>
      <c r="M27" s="24">
        <v>0</v>
      </c>
      <c r="N27" s="24">
        <f t="shared" ref="N27:N37" si="5">SUM(B27:M27)</f>
        <v>459872.72000000003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21387.5</v>
      </c>
      <c r="I28" s="24">
        <v>0</v>
      </c>
      <c r="J28" s="24">
        <v>1016</v>
      </c>
      <c r="K28" s="24">
        <v>0</v>
      </c>
      <c r="L28" s="24">
        <v>0</v>
      </c>
      <c r="M28" s="24">
        <v>0</v>
      </c>
      <c r="N28" s="24">
        <f t="shared" si="5"/>
        <v>22403.5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17552.5</v>
      </c>
      <c r="E29" s="24">
        <v>11853.1</v>
      </c>
      <c r="F29" s="24">
        <v>0</v>
      </c>
      <c r="G29" s="24">
        <v>90010.4</v>
      </c>
      <c r="H29" s="24">
        <v>26850.02</v>
      </c>
      <c r="I29" s="24">
        <v>12150</v>
      </c>
      <c r="J29" s="24">
        <v>7154.25</v>
      </c>
      <c r="K29" s="24">
        <v>0</v>
      </c>
      <c r="L29" s="24">
        <v>0</v>
      </c>
      <c r="M29" s="24">
        <v>0</v>
      </c>
      <c r="N29" s="24">
        <f t="shared" si="5"/>
        <v>165570.26999999999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891.64</v>
      </c>
      <c r="K30" s="24">
        <v>0</v>
      </c>
      <c r="L30" s="24">
        <v>0</v>
      </c>
      <c r="M30" s="24">
        <v>0</v>
      </c>
      <c r="N30" s="24">
        <f t="shared" si="5"/>
        <v>891.64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184632.71</v>
      </c>
      <c r="I31" s="24">
        <v>0</v>
      </c>
      <c r="J31" s="24">
        <v>4777</v>
      </c>
      <c r="K31" s="24">
        <v>0</v>
      </c>
      <c r="L31" s="24">
        <v>0</v>
      </c>
      <c r="M31" s="24">
        <v>0</v>
      </c>
      <c r="N31" s="24">
        <f t="shared" si="5"/>
        <v>189409.71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9544.77</v>
      </c>
      <c r="E32" s="24">
        <v>0</v>
      </c>
      <c r="F32" s="24">
        <v>0</v>
      </c>
      <c r="G32" s="24">
        <v>0</v>
      </c>
      <c r="H32" s="24">
        <v>0</v>
      </c>
      <c r="I32" s="24">
        <v>1815.99</v>
      </c>
      <c r="J32" s="24">
        <v>16754.55</v>
      </c>
      <c r="K32" s="24">
        <v>0</v>
      </c>
      <c r="L32" s="24">
        <v>0</v>
      </c>
      <c r="M32" s="24">
        <v>0</v>
      </c>
      <c r="N32" s="24">
        <f t="shared" si="5"/>
        <v>28115.309999999998</v>
      </c>
    </row>
    <row r="33" spans="1:14" ht="17.25" customHeight="1" x14ac:dyDescent="0.25">
      <c r="A33" s="5" t="s">
        <v>24</v>
      </c>
      <c r="B33" s="24">
        <v>452000</v>
      </c>
      <c r="C33" s="24">
        <v>442000</v>
      </c>
      <c r="D33" s="24">
        <v>594925.61</v>
      </c>
      <c r="E33" s="24">
        <v>501149</v>
      </c>
      <c r="F33" s="24">
        <v>524500</v>
      </c>
      <c r="G33" s="24">
        <v>535500</v>
      </c>
      <c r="H33" s="24">
        <v>550000</v>
      </c>
      <c r="I33" s="24">
        <v>1030416.68</v>
      </c>
      <c r="J33" s="24">
        <v>720157.99</v>
      </c>
      <c r="K33" s="24">
        <v>0</v>
      </c>
      <c r="L33" s="24">
        <v>0</v>
      </c>
      <c r="M33" s="24">
        <v>0</v>
      </c>
      <c r="N33" s="24">
        <f t="shared" si="5"/>
        <v>5350649.28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23910.28</v>
      </c>
      <c r="D35" s="24">
        <v>45880.81</v>
      </c>
      <c r="E35" s="24">
        <v>31058.9</v>
      </c>
      <c r="F35" s="24">
        <v>14750</v>
      </c>
      <c r="G35" s="24">
        <v>165288.32000000001</v>
      </c>
      <c r="H35" s="24">
        <v>424236.4</v>
      </c>
      <c r="I35" s="24">
        <v>241850.86</v>
      </c>
      <c r="J35" s="24">
        <v>51088.35</v>
      </c>
      <c r="K35" s="24">
        <v>0</v>
      </c>
      <c r="L35" s="24">
        <v>0</v>
      </c>
      <c r="M35" s="24">
        <v>0</v>
      </c>
      <c r="N35" s="24">
        <f t="shared" si="5"/>
        <v>998063.91999999993</v>
      </c>
    </row>
    <row r="36" spans="1:14" ht="17.25" customHeight="1" x14ac:dyDescent="0.25">
      <c r="A36" s="3" t="s">
        <v>27</v>
      </c>
      <c r="B36" s="25">
        <f t="shared" ref="B36:N36" si="6">B37+B38+B39+B40+B41+B42</f>
        <v>0</v>
      </c>
      <c r="C36" s="25">
        <f t="shared" si="6"/>
        <v>0</v>
      </c>
      <c r="D36" s="25">
        <f t="shared" si="6"/>
        <v>0</v>
      </c>
      <c r="E36" s="25">
        <f t="shared" si="6"/>
        <v>20000</v>
      </c>
      <c r="F36" s="25">
        <f t="shared" si="6"/>
        <v>0</v>
      </c>
      <c r="G36" s="25">
        <f t="shared" si="6"/>
        <v>0</v>
      </c>
      <c r="H36" s="25">
        <f t="shared" si="6"/>
        <v>20000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40000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0</v>
      </c>
      <c r="E37" s="24">
        <v>20000</v>
      </c>
      <c r="F37" s="24">
        <v>0</v>
      </c>
      <c r="G37" s="24">
        <v>0</v>
      </c>
      <c r="H37" s="24">
        <v>20000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5"/>
        <v>40000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7">B46</f>
        <v>0</v>
      </c>
      <c r="C45" s="25">
        <f t="shared" si="7"/>
        <v>0</v>
      </c>
      <c r="D45" s="25">
        <f t="shared" si="7"/>
        <v>0</v>
      </c>
      <c r="E45" s="25">
        <f t="shared" si="7"/>
        <v>0</v>
      </c>
      <c r="F45" s="25">
        <f t="shared" si="7"/>
        <v>0</v>
      </c>
      <c r="G45" s="25">
        <f t="shared" si="7"/>
        <v>0</v>
      </c>
      <c r="H45" s="25">
        <f t="shared" si="7"/>
        <v>0</v>
      </c>
      <c r="I45" s="25">
        <f t="shared" si="7"/>
        <v>0</v>
      </c>
      <c r="J45" s="25">
        <f t="shared" si="7"/>
        <v>0</v>
      </c>
      <c r="K45" s="25">
        <f t="shared" si="7"/>
        <v>0</v>
      </c>
      <c r="L45" s="25">
        <f t="shared" si="7"/>
        <v>0</v>
      </c>
      <c r="M45" s="25">
        <f t="shared" si="7"/>
        <v>0</v>
      </c>
      <c r="N45" s="25">
        <f t="shared" si="7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D53+D60+D57</f>
        <v>78698.92</v>
      </c>
      <c r="E52" s="25">
        <f>E53+E57+E60</f>
        <v>0</v>
      </c>
      <c r="F52" s="25">
        <f>F54+F53+F58</f>
        <v>50032</v>
      </c>
      <c r="G52" s="25">
        <f>G54+G53+G56+G57</f>
        <v>0</v>
      </c>
      <c r="H52" s="25">
        <f>H53+H57</f>
        <v>494157.59</v>
      </c>
      <c r="I52" s="25">
        <f>I53+I57</f>
        <v>4163.04</v>
      </c>
      <c r="J52" s="25">
        <f>J53+J54</f>
        <v>250230.41999999998</v>
      </c>
      <c r="K52" s="25">
        <f>K53</f>
        <v>0</v>
      </c>
      <c r="L52" s="25">
        <f>L53+L57</f>
        <v>0</v>
      </c>
      <c r="M52" s="25">
        <f>M53+M54+M57</f>
        <v>0</v>
      </c>
      <c r="N52" s="25">
        <f t="shared" ref="N52:N57" si="8">SUM(B52:M52)</f>
        <v>877281.97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494157.59</v>
      </c>
      <c r="I53" s="24">
        <v>0</v>
      </c>
      <c r="J53" s="24">
        <v>13572.36</v>
      </c>
      <c r="K53" s="24">
        <v>0</v>
      </c>
      <c r="L53" s="24">
        <v>0</v>
      </c>
      <c r="M53" s="24">
        <v>0</v>
      </c>
      <c r="N53" s="24">
        <f t="shared" si="8"/>
        <v>507729.95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236658.06</v>
      </c>
      <c r="K54" s="24">
        <v>0</v>
      </c>
      <c r="L54" s="24">
        <v>0</v>
      </c>
      <c r="M54" s="24">
        <v>0</v>
      </c>
      <c r="N54" s="24">
        <f t="shared" si="8"/>
        <v>236658.06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f t="shared" si="8"/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 t="shared" si="8"/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78698.92</v>
      </c>
      <c r="E57" s="24">
        <v>0</v>
      </c>
      <c r="F57" s="24">
        <v>0</v>
      </c>
      <c r="G57" s="24">
        <v>0</v>
      </c>
      <c r="H57" s="24">
        <v>0</v>
      </c>
      <c r="I57" s="24">
        <v>4163.04</v>
      </c>
      <c r="J57" s="24">
        <v>0</v>
      </c>
      <c r="K57" s="24">
        <v>0</v>
      </c>
      <c r="L57" s="24">
        <v>0</v>
      </c>
      <c r="M57" s="24">
        <v>0</v>
      </c>
      <c r="N57" s="24">
        <f t="shared" si="8"/>
        <v>82861.959999999992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50032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f t="shared" ref="N58:N61" si="9">SUM(B58:M58)</f>
        <v>50032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f t="shared" si="9"/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f t="shared" si="9"/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f t="shared" si="9"/>
        <v>0</v>
      </c>
    </row>
    <row r="62" spans="1:14" ht="17.25" customHeight="1" x14ac:dyDescent="0.25">
      <c r="A62" s="3" t="s">
        <v>53</v>
      </c>
      <c r="B62" s="25">
        <f t="shared" ref="B62:N62" si="10">B63</f>
        <v>0</v>
      </c>
      <c r="C62" s="25">
        <f t="shared" si="10"/>
        <v>0</v>
      </c>
      <c r="D62" s="25">
        <f t="shared" si="10"/>
        <v>0</v>
      </c>
      <c r="E62" s="25">
        <f t="shared" si="10"/>
        <v>0</v>
      </c>
      <c r="F62" s="25">
        <f t="shared" si="10"/>
        <v>0</v>
      </c>
      <c r="G62" s="25">
        <f t="shared" si="10"/>
        <v>0</v>
      </c>
      <c r="H62" s="25">
        <f t="shared" si="10"/>
        <v>0</v>
      </c>
      <c r="I62" s="25">
        <f t="shared" si="10"/>
        <v>0</v>
      </c>
      <c r="J62" s="25">
        <f t="shared" si="10"/>
        <v>0</v>
      </c>
      <c r="K62" s="25">
        <f t="shared" si="10"/>
        <v>0</v>
      </c>
      <c r="L62" s="25">
        <f t="shared" si="10"/>
        <v>0</v>
      </c>
      <c r="M62" s="25">
        <f t="shared" si="10"/>
        <v>0</v>
      </c>
      <c r="N62" s="25">
        <f t="shared" si="10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B10+B16+B52+B26</f>
        <v>21115559.48</v>
      </c>
      <c r="C83" s="26">
        <f>C52+C16+C10+C26</f>
        <v>23527111.510000002</v>
      </c>
      <c r="D83" s="26">
        <f>D52+D16+D10+D26+D36</f>
        <v>26609292.530000001</v>
      </c>
      <c r="E83" s="26">
        <f>E52+E16+E10+E26+E36</f>
        <v>33869000.619999997</v>
      </c>
      <c r="F83" s="26">
        <f>F52+F16+F10+F26</f>
        <v>22760804.329999998</v>
      </c>
      <c r="G83" s="26">
        <f>G52+G16+G10+G26</f>
        <v>29618918.34</v>
      </c>
      <c r="H83" s="26">
        <f>H52+H16+H10+H26+H36</f>
        <v>25722055.669999998</v>
      </c>
      <c r="I83" s="26">
        <f>I52+I26+I16+I10</f>
        <v>23210869.670000002</v>
      </c>
      <c r="J83" s="26">
        <f>J52+J26+J16+J10</f>
        <v>22977253.09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229410865.24000001</v>
      </c>
    </row>
    <row r="84" spans="1:14" x14ac:dyDescent="0.25">
      <c r="A84" s="37" t="s">
        <v>110</v>
      </c>
    </row>
    <row r="85" spans="1:14" x14ac:dyDescent="0.25">
      <c r="A85" s="36"/>
    </row>
    <row r="86" spans="1:14" ht="18.75" x14ac:dyDescent="0.3">
      <c r="A86" s="30" t="s">
        <v>101</v>
      </c>
      <c r="B86" s="29"/>
      <c r="C86" s="29"/>
      <c r="D86" s="29"/>
      <c r="E86" s="30" t="s">
        <v>102</v>
      </c>
      <c r="G86" s="31"/>
      <c r="I86" s="32"/>
      <c r="J86" s="29"/>
    </row>
    <row r="87" spans="1:14" ht="47.25" customHeight="1" x14ac:dyDescent="0.3">
      <c r="A87" s="33" t="s">
        <v>103</v>
      </c>
      <c r="B87" s="31"/>
      <c r="C87" s="29"/>
      <c r="D87" s="29"/>
      <c r="E87" s="33" t="s">
        <v>103</v>
      </c>
      <c r="G87" s="33"/>
      <c r="H87" s="29"/>
      <c r="I87" s="29"/>
      <c r="J87" s="29"/>
    </row>
    <row r="88" spans="1:14" ht="18.75" x14ac:dyDescent="0.3">
      <c r="A88" s="31" t="s">
        <v>104</v>
      </c>
      <c r="B88" s="31"/>
      <c r="C88" s="29"/>
      <c r="D88" s="29"/>
      <c r="E88" s="31" t="s">
        <v>107</v>
      </c>
      <c r="F88" s="35"/>
      <c r="G88" s="38" t="s">
        <v>111</v>
      </c>
      <c r="H88" s="35"/>
      <c r="I88" s="35"/>
      <c r="J88" s="29"/>
    </row>
    <row r="89" spans="1:14" ht="18.75" x14ac:dyDescent="0.3">
      <c r="A89" s="31" t="s">
        <v>106</v>
      </c>
      <c r="B89" s="31"/>
      <c r="C89" s="29"/>
      <c r="D89" s="29"/>
      <c r="E89" s="31" t="s">
        <v>108</v>
      </c>
      <c r="G89" s="31"/>
      <c r="H89" s="29"/>
      <c r="I89" s="29"/>
      <c r="J89" s="29"/>
    </row>
    <row r="90" spans="1:14" ht="18.75" x14ac:dyDescent="0.3">
      <c r="C90" s="29"/>
      <c r="D90" s="29"/>
      <c r="E90" s="29"/>
      <c r="G90" s="29"/>
      <c r="H90" s="29"/>
      <c r="I90" s="29"/>
      <c r="J90" s="29"/>
    </row>
    <row r="91" spans="1:14" ht="18.75" x14ac:dyDescent="0.25">
      <c r="A91" s="31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15748031496062992" bottom="0.19685039370078741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2026-10-05T16:50:06Z</cp:lastPrinted>
  <dcterms:created xsi:type="dcterms:W3CDTF">2021-07-29T18:58:50Z</dcterms:created>
  <dcterms:modified xsi:type="dcterms:W3CDTF">2026-10-05T16:52:41Z</dcterms:modified>
</cp:coreProperties>
</file>