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37D4E685-0DCB-40A7-B93D-FE93397CEA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7" i="2" l="1"/>
  <c r="K35" i="2"/>
  <c r="K33" i="2"/>
  <c r="K27" i="2"/>
  <c r="K25" i="2"/>
  <c r="K24" i="2"/>
  <c r="K21" i="2"/>
  <c r="K11" i="2"/>
  <c r="K15" i="2"/>
  <c r="E54" i="1"/>
  <c r="H83" i="3"/>
  <c r="J35" i="2"/>
  <c r="J21" i="2"/>
  <c r="J24" i="2"/>
  <c r="J23" i="2"/>
  <c r="J22" i="2"/>
  <c r="J17" i="2"/>
  <c r="J11" i="2"/>
  <c r="J15" i="2"/>
  <c r="I35" i="2"/>
  <c r="I25" i="2"/>
  <c r="I24" i="2"/>
  <c r="I21" i="2"/>
  <c r="I19" i="2"/>
  <c r="I17" i="2"/>
  <c r="I11" i="2"/>
  <c r="I15" i="2"/>
  <c r="H52" i="2"/>
  <c r="F52" i="3"/>
  <c r="F24" i="3"/>
  <c r="F23" i="3"/>
  <c r="F21" i="3"/>
  <c r="F17" i="3"/>
  <c r="F11" i="3"/>
  <c r="G24" i="2"/>
  <c r="G21" i="2"/>
  <c r="G17" i="2"/>
  <c r="G35" i="2"/>
  <c r="G33" i="2"/>
  <c r="G29" i="2"/>
  <c r="G25" i="2"/>
  <c r="G22" i="2"/>
  <c r="G11" i="2"/>
  <c r="G15" i="2"/>
  <c r="D52" i="3" l="1"/>
  <c r="F35" i="2"/>
  <c r="F33" i="2"/>
  <c r="F32" i="2"/>
  <c r="F24" i="2"/>
  <c r="F23" i="2"/>
  <c r="F17" i="2"/>
  <c r="C52" i="2"/>
  <c r="F11" i="2"/>
  <c r="F15" i="2"/>
  <c r="D24" i="2"/>
  <c r="E24" i="2"/>
  <c r="E23" i="2"/>
  <c r="E17" i="2"/>
  <c r="E16" i="2" s="1"/>
  <c r="E15" i="2"/>
  <c r="D17" i="2" l="1"/>
  <c r="D11" i="2"/>
  <c r="D15" i="2"/>
  <c r="L52" i="3"/>
  <c r="M16" i="2"/>
  <c r="I52" i="3"/>
  <c r="H16" i="2" l="1"/>
  <c r="E16" i="3"/>
  <c r="E83" i="3" s="1"/>
  <c r="P60" i="2" l="1"/>
  <c r="F52" i="2"/>
  <c r="E52" i="3"/>
  <c r="D26" i="3"/>
  <c r="C26" i="3"/>
  <c r="L16" i="3" l="1"/>
  <c r="N55" i="3"/>
  <c r="N61" i="3"/>
  <c r="N60" i="3"/>
  <c r="N59" i="3"/>
  <c r="N58" i="3"/>
  <c r="N52" i="2"/>
  <c r="N16" i="2"/>
  <c r="J52" i="3"/>
  <c r="J26" i="3"/>
  <c r="J16" i="3"/>
  <c r="L52" i="2"/>
  <c r="L16" i="2"/>
  <c r="G16" i="3"/>
  <c r="G52" i="3"/>
  <c r="I16" i="2"/>
  <c r="G26" i="3" l="1"/>
  <c r="F26" i="3"/>
  <c r="F16" i="3"/>
  <c r="P37" i="2"/>
  <c r="E26" i="3"/>
  <c r="G16" i="2" l="1"/>
  <c r="E18" i="1" l="1"/>
  <c r="F16" i="2"/>
  <c r="N37" i="3" l="1"/>
  <c r="D16" i="3"/>
  <c r="B16" i="3" l="1"/>
  <c r="B83" i="3" s="1"/>
  <c r="B10" i="2"/>
  <c r="D16" i="2"/>
  <c r="C16" i="3"/>
  <c r="D28" i="1"/>
  <c r="D12" i="1"/>
  <c r="M16" i="3"/>
  <c r="M26" i="3"/>
  <c r="M52" i="3"/>
  <c r="O16" i="2"/>
  <c r="K26" i="3"/>
  <c r="P34" i="2"/>
  <c r="P57" i="2"/>
  <c r="P56" i="2"/>
  <c r="P55" i="2"/>
  <c r="H16" i="3" l="1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6" i="2"/>
  <c r="D18" i="1" l="1"/>
  <c r="M10" i="3"/>
  <c r="O52" i="2"/>
  <c r="C36" i="2"/>
  <c r="C16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G10" i="3"/>
  <c r="G83" i="3" s="1"/>
  <c r="F10" i="3"/>
  <c r="F83" i="3" s="1"/>
  <c r="E10" i="3"/>
  <c r="D10" i="3"/>
  <c r="D83" i="3" s="1"/>
  <c r="C10" i="3"/>
  <c r="B10" i="3"/>
  <c r="N11" i="3"/>
  <c r="P54" i="2"/>
  <c r="P53" i="2"/>
  <c r="M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G83" i="2" l="1"/>
  <c r="C83" i="2"/>
  <c r="P10" i="2"/>
  <c r="K83" i="3"/>
  <c r="C83" i="3"/>
  <c r="M83" i="3"/>
  <c r="L83" i="3"/>
  <c r="B83" i="2"/>
  <c r="P52" i="2"/>
  <c r="I83" i="3"/>
  <c r="N26" i="3"/>
  <c r="N10" i="3"/>
  <c r="N16" i="3"/>
  <c r="N52" i="3"/>
  <c r="P26" i="2"/>
  <c r="F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  <c r="P83" i="2"/>
</calcChain>
</file>

<file path=xl/sharedStrings.xml><?xml version="1.0" encoding="utf-8"?>
<sst xmlns="http://schemas.openxmlformats.org/spreadsheetml/2006/main" count="298" uniqueCount="119">
  <si>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</si>
  <si>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</si>
  <si>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</si>
  <si>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</si>
  <si>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</si>
  <si>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</si>
  <si>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</si>
  <si>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</si>
  <si>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</si>
  <si>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</si>
  <si>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</si>
  <si>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</si>
  <si>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</si>
  <si>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</si>
  <si>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</si>
  <si>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</si>
  <si>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</si>
  <si>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</si>
  <si>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</si>
  <si>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</si>
  <si>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</si>
  <si>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</si>
  <si>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</si>
  <si>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</si>
  <si>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</si>
  <si>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</si>
  <si>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</si>
  <si>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</si>
  <si>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</si>
  <si>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</si>
  <si>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</si>
  <si>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</si>
  <si>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</si>
  <si>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</si>
  <si>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</si>
  <si>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</si>
  <si>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</si>
  <si>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</si>
  <si>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</si>
  <si>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</si>
  <si>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</si>
  <si>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</si>
  <si>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</si>
  <si>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</si>
  <si>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</si>
  <si>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</si>
  <si>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</si>
  <si>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</si>
  <si>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</si>
  <si>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</si>
  <si>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</si>
  <si>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</si>
  <si>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</si>
  <si>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</si>
  <si>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</si>
  <si>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</si>
  <si>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</si>
  <si>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</si>
  <si>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</si>
  <si>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</si>
  <si>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</si>
  <si>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</si>
  <si>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</si>
  <si>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</si>
  <si>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</si>
  <si>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</si>
  <si>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</si>
  <si>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</si>
  <si>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</si>
  <si>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</si>
  <si>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</si>
  <si>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</si>
  <si>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</si>
  <si>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</si>
  <si>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</si>
  <si>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</si>
  <si>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</si>
  <si>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</si>
  <si>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</si>
  <si>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</si>
  <si>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</si>
  <si>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</si>
  <si>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</si>
  <si>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</si>
  <si>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</si>
  <si>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</si>
  <si>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</si>
  <si>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</si>
  <si>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</si>
  <si>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</si>
  <si>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</si>
  <si>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</si>
  <si>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</si>
  <si>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</si>
  <si>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</si>
  <si>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</si>
  <si>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</si>
  <si>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</si>
  <si>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</si>
  <si>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</si>
  <si>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</si>
  <si>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</si>
  <si>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</si>
  <si>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</si>
  <si>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</si>
  <si>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</si>
  <si>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</si>
  <si>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</si>
  <si>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</si>
  <si>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</si>
  <si>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</si>
  <si>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</si>
  <si>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</si>
  <si>
    <t>Sept</t>
  </si>
  <si>
    <t>Oct</t>
  </si>
  <si>
    <t>Nov</t>
  </si>
  <si>
    <t>Dic</t>
  </si>
  <si>
    <t xml:space="preserve">                       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</si>
  <si>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                         Analista de Presupuesto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</si>
</sst>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left" indent="1"/>
    </xf>
    <xf numFmtId="4" fontId="23" fillId="0" borderId="0" xfId="0" applyNumberFormat="1" applyFont="1"/>
    <xf numFmtId="0" fontId="24" fillId="0" borderId="0" xfId="0" applyFont="1"/>
    <xf numFmtId="0" fontId="24" fillId="0" borderId="0" xfId="0" applyFont="1" applyAlignment="1">
      <alignment horizontal="left" indent="2"/>
    </xf>
    <xf numFmtId="4" fontId="24" fillId="0" borderId="0" xfId="0" applyNumberFormat="1" applyFont="1"/>
    <xf numFmtId="0" fontId="24" fillId="0" borderId="9" xfId="0" applyFont="1" applyBorder="1"/>
    <xf numFmtId="0" fontId="24" fillId="0" borderId="0" xfId="0" applyFont="1" applyAlignment="1">
      <alignment horizontal="left" wrapText="1" indent="2"/>
    </xf>
    <xf numFmtId="0" fontId="23" fillId="0" borderId="1" xfId="0" applyFont="1" applyBorder="1" applyAlignment="1">
      <alignment horizontal="left"/>
    </xf>
    <xf numFmtId="4" fontId="23" fillId="0" borderId="1" xfId="0" applyNumberFormat="1" applyFont="1" applyBorder="1"/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top" wrapText="1" readingOrder="1"/>
    </xf>
    <xf numFmtId="0" fontId="18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504825</xdr:colOff>
      <xdr:row>0</xdr:row>
      <xdr:rowOff>152400</xdr:rowOff>
    </xdr:from>
    <xdr:to>
      <xdr:col>15</xdr:col>
      <xdr:colOff>609600</xdr:colOff>
      <xdr:row>5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5763875" y="152400"/>
          <a:ext cx="1800225" cy="1085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47626</xdr:colOff>
      <xdr:row>0</xdr:row>
      <xdr:rowOff>152400</xdr:rowOff>
    </xdr:from>
    <xdr:to>
      <xdr:col>15</xdr:col>
      <xdr:colOff>506887</xdr:colOff>
      <xdr:row>5</xdr:row>
      <xdr:rowOff>30750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9126" y="1524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B70" workbookViewId="0">
      <selection activeCell="E45" sqref="E4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70" t="s">
        <v>109</v>
      </c>
      <c r="D3" s="70"/>
      <c r="E3" s="7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70" t="s">
        <v>98</v>
      </c>
      <c r="D4" s="70"/>
      <c r="E4" s="7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67">
        <v>2026</v>
      </c>
      <c r="D5" s="68"/>
      <c r="E5" s="6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69" t="s">
        <v>76</v>
      </c>
      <c r="D6" s="56"/>
      <c r="E6" s="56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69" t="s">
        <v>77</v>
      </c>
      <c r="D7" s="56"/>
      <c r="E7" s="56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64" t="s">
        <v>66</v>
      </c>
      <c r="D9" s="65" t="s">
        <v>94</v>
      </c>
      <c r="E9" s="65" t="s">
        <v>93</v>
      </c>
      <c r="F9" s="8"/>
    </row>
    <row r="10" spans="2:16" ht="23.25" customHeight="1" x14ac:dyDescent="0.25">
      <c r="C10" s="64"/>
      <c r="D10" s="66"/>
      <c r="E10" s="66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257671203</v>
      </c>
      <c r="F12" s="8"/>
    </row>
    <row r="13" spans="2:16" x14ac:dyDescent="0.25">
      <c r="C13" s="5" t="s">
        <v>2</v>
      </c>
      <c r="D13" s="6">
        <v>175923207</v>
      </c>
      <c r="E13" s="6">
        <v>195856262</v>
      </c>
      <c r="F13" s="8"/>
    </row>
    <row r="14" spans="2:16" x14ac:dyDescent="0.25">
      <c r="C14" s="5" t="s">
        <v>3</v>
      </c>
      <c r="D14" s="6">
        <v>32210262</v>
      </c>
      <c r="E14" s="6">
        <v>34249762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27565179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89303780.409999996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44500</v>
      </c>
      <c r="F20" s="8"/>
    </row>
    <row r="21" spans="3:6" x14ac:dyDescent="0.25">
      <c r="C21" s="5" t="s">
        <v>10</v>
      </c>
      <c r="D21" s="6">
        <v>2036000</v>
      </c>
      <c r="E21" s="6">
        <v>5263277.7699999996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22631281.059999999</v>
      </c>
    </row>
    <row r="24" spans="3:6" x14ac:dyDescent="0.25">
      <c r="C24" s="5" t="s">
        <v>13</v>
      </c>
      <c r="D24" s="6">
        <v>15692720</v>
      </c>
      <c r="E24" s="6">
        <v>17421617</v>
      </c>
    </row>
    <row r="25" spans="3:6" x14ac:dyDescent="0.25">
      <c r="C25" s="5" t="s">
        <v>14</v>
      </c>
      <c r="D25" s="6">
        <v>2671200</v>
      </c>
      <c r="E25" s="6">
        <v>3682220</v>
      </c>
    </row>
    <row r="26" spans="3:6" x14ac:dyDescent="0.25">
      <c r="C26" s="5" t="s">
        <v>15</v>
      </c>
      <c r="D26" s="6">
        <v>8218589</v>
      </c>
      <c r="E26" s="6">
        <v>9172701.2599999998</v>
      </c>
    </row>
    <row r="27" spans="3:6" x14ac:dyDescent="0.25">
      <c r="C27" s="5" t="s">
        <v>16</v>
      </c>
      <c r="D27" s="6">
        <v>4198000</v>
      </c>
      <c r="E27" s="6">
        <v>4049525.82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12551431</v>
      </c>
    </row>
    <row r="29" spans="3:6" x14ac:dyDescent="0.25">
      <c r="C29" s="5" t="s">
        <v>18</v>
      </c>
      <c r="D29" s="6">
        <v>460000</v>
      </c>
      <c r="E29" s="6">
        <v>512000</v>
      </c>
    </row>
    <row r="30" spans="3:6" x14ac:dyDescent="0.25">
      <c r="C30" s="5" t="s">
        <v>19</v>
      </c>
      <c r="D30" s="6">
        <v>70000</v>
      </c>
      <c r="E30" s="6">
        <v>29000</v>
      </c>
    </row>
    <row r="31" spans="3:6" x14ac:dyDescent="0.25">
      <c r="C31" s="5" t="s">
        <v>20</v>
      </c>
      <c r="D31" s="6">
        <v>300000</v>
      </c>
      <c r="E31" s="6">
        <v>190157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208907</v>
      </c>
    </row>
    <row r="34" spans="3:5" x14ac:dyDescent="0.25">
      <c r="C34" s="5" t="s">
        <v>23</v>
      </c>
      <c r="D34" s="6">
        <v>200000</v>
      </c>
      <c r="E34" s="6">
        <v>58000</v>
      </c>
    </row>
    <row r="35" spans="3:5" x14ac:dyDescent="0.25">
      <c r="C35" s="5" t="s">
        <v>24</v>
      </c>
      <c r="D35" s="6">
        <v>9140000</v>
      </c>
      <c r="E35" s="6">
        <v>10186750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1366617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1066500</v>
      </c>
    </row>
    <row r="55" spans="3:5" x14ac:dyDescent="0.25">
      <c r="C55" s="5" t="s">
        <v>44</v>
      </c>
      <c r="D55" s="6">
        <v>550000</v>
      </c>
      <c r="E55" s="6">
        <v>613768</v>
      </c>
    </row>
    <row r="56" spans="3:5" x14ac:dyDescent="0.25">
      <c r="C56" s="5" t="s">
        <v>45</v>
      </c>
      <c r="D56" s="6"/>
      <c r="E56" s="6">
        <v>270000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132700</v>
      </c>
    </row>
    <row r="60" spans="3:5" x14ac:dyDescent="0.25">
      <c r="C60" s="5" t="s">
        <v>49</v>
      </c>
      <c r="D60" s="6"/>
      <c r="E60" s="6">
        <v>50032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112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360632914.40999997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4"/>
  <sheetViews>
    <sheetView showGridLines="0" tabSelected="1" topLeftCell="A67" workbookViewId="0">
      <selection activeCell="C87" sqref="C87"/>
    </sheetView>
  </sheetViews>
  <sheetFormatPr defaultColWidth="11.42578125" defaultRowHeight="15" x14ac:dyDescent="0.25"/>
  <cols>
    <col min="1" max="1" width="65.85546875" customWidth="1"/>
    <col min="2" max="2" width="14.28515625" customWidth="1"/>
    <col min="3" max="3" width="14.5703125" customWidth="1"/>
    <col min="4" max="4" width="13.140625" customWidth="1"/>
    <col min="5" max="5" width="13.5703125" customWidth="1"/>
    <col min="6" max="7" width="13.28515625" customWidth="1"/>
    <col min="8" max="8" width="12.85546875" customWidth="1"/>
    <col min="9" max="9" width="13" customWidth="1"/>
    <col min="10" max="10" width="12.85546875" customWidth="1"/>
    <col min="11" max="11" width="13.140625" customWidth="1"/>
    <col min="12" max="12" width="8.5703125" customWidth="1"/>
    <col min="13" max="13" width="8.28515625" customWidth="1"/>
    <col min="14" max="14" width="9" customWidth="1"/>
    <col min="15" max="15" width="8.140625" customWidth="1"/>
    <col min="16" max="16" width="14.28515625" customWidth="1"/>
  </cols>
  <sheetData>
    <row r="1" spans="1:17" ht="28.5" customHeight="1" x14ac:dyDescent="0.25">
      <c r="A1" s="60" t="s">
        <v>109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7" ht="21" customHeight="1" x14ac:dyDescent="0.25">
      <c r="A2" s="62" t="s">
        <v>99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7" ht="10.5" customHeight="1" x14ac:dyDescent="0.25">
      <c r="A3" s="67">
        <v>2026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7" ht="15.75" customHeight="1" x14ac:dyDescent="0.25">
      <c r="A4" s="69" t="s">
        <v>92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7" ht="15.75" customHeight="1" x14ac:dyDescent="0.25">
      <c r="A5" s="56" t="s">
        <v>77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ht="3" customHeight="1" x14ac:dyDescent="0.25"/>
    <row r="7" spans="1:17" ht="23.25" customHeight="1" x14ac:dyDescent="0.25">
      <c r="A7" s="64" t="s">
        <v>66</v>
      </c>
      <c r="B7" s="65" t="s">
        <v>94</v>
      </c>
      <c r="C7" s="65" t="s">
        <v>93</v>
      </c>
      <c r="D7" s="57" t="s">
        <v>91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ht="12.75" customHeight="1" x14ac:dyDescent="0.25">
      <c r="A8" s="64"/>
      <c r="B8" s="66"/>
      <c r="C8" s="66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113</v>
      </c>
      <c r="M8" s="15" t="s">
        <v>114</v>
      </c>
      <c r="N8" s="15" t="s">
        <v>115</v>
      </c>
      <c r="O8" s="16" t="s">
        <v>116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s="48" customFormat="1" ht="12.75" x14ac:dyDescent="0.2">
      <c r="A10" s="46" t="s">
        <v>1</v>
      </c>
      <c r="B10" s="47">
        <f>B11+B12+B15</f>
        <v>233011100</v>
      </c>
      <c r="C10" s="47">
        <f>C11+C12+C15</f>
        <v>257671203</v>
      </c>
      <c r="D10" s="47">
        <f t="shared" ref="D10:O10" si="0">D11+D12+D15</f>
        <v>16468246.950000001</v>
      </c>
      <c r="E10" s="47">
        <f t="shared" si="0"/>
        <v>17894777.140000001</v>
      </c>
      <c r="F10" s="47">
        <f t="shared" si="0"/>
        <v>17140657.43</v>
      </c>
      <c r="G10" s="47">
        <f t="shared" si="0"/>
        <v>28782888.059999999</v>
      </c>
      <c r="H10" s="47">
        <f t="shared" si="0"/>
        <v>16753187.51</v>
      </c>
      <c r="I10" s="47">
        <f t="shared" si="0"/>
        <v>17567383.009999998</v>
      </c>
      <c r="J10" s="47">
        <f t="shared" si="0"/>
        <v>16883280.48</v>
      </c>
      <c r="K10" s="47">
        <f t="shared" si="0"/>
        <v>16708157.76</v>
      </c>
      <c r="L10" s="47">
        <f t="shared" si="0"/>
        <v>0</v>
      </c>
      <c r="M10" s="47">
        <f t="shared" si="0"/>
        <v>0</v>
      </c>
      <c r="N10" s="47">
        <f t="shared" si="0"/>
        <v>0</v>
      </c>
      <c r="O10" s="47">
        <f t="shared" si="0"/>
        <v>0</v>
      </c>
      <c r="P10" s="47">
        <f>SUM(D10:O10)</f>
        <v>148198578.34</v>
      </c>
    </row>
    <row r="11" spans="1:17" s="48" customFormat="1" ht="12.75" x14ac:dyDescent="0.2">
      <c r="A11" s="49" t="s">
        <v>2</v>
      </c>
      <c r="B11" s="50">
        <v>175923207</v>
      </c>
      <c r="C11" s="50">
        <v>195856262</v>
      </c>
      <c r="D11" s="50">
        <f>11749838.91+7500+2321824.5+283148.31</f>
        <v>14362311.720000001</v>
      </c>
      <c r="E11" s="50">
        <v>15340960.15</v>
      </c>
      <c r="F11" s="50">
        <f>12922124.36+168000+120333.33+1260000+340101.52</f>
        <v>14810559.209999999</v>
      </c>
      <c r="G11" s="50">
        <f>12996124.36+160000+140000+13143268.86</f>
        <v>26439393.219999999</v>
      </c>
      <c r="H11" s="50">
        <v>14344624.359999999</v>
      </c>
      <c r="I11" s="50">
        <f>13366374.36+95000+674333.33+821365.94</f>
        <v>14957073.629999999</v>
      </c>
      <c r="J11" s="50">
        <f>13791374.36+95000+506000</f>
        <v>14392374.359999999</v>
      </c>
      <c r="K11" s="50">
        <f>13617374.36+95000+508767.88</f>
        <v>14221142.24</v>
      </c>
      <c r="L11" s="50">
        <v>0</v>
      </c>
      <c r="M11" s="50">
        <v>0</v>
      </c>
      <c r="N11" s="50">
        <v>0</v>
      </c>
      <c r="O11" s="50">
        <v>0</v>
      </c>
      <c r="P11" s="50">
        <f>SUM(D11:O11)</f>
        <v>128868438.88999999</v>
      </c>
    </row>
    <row r="12" spans="1:17" s="48" customFormat="1" ht="12.75" x14ac:dyDescent="0.2">
      <c r="A12" s="49" t="s">
        <v>3</v>
      </c>
      <c r="B12" s="50">
        <v>32210262</v>
      </c>
      <c r="C12" s="50">
        <v>34249762</v>
      </c>
      <c r="D12" s="50">
        <v>333500</v>
      </c>
      <c r="E12" s="50">
        <v>333500</v>
      </c>
      <c r="F12" s="50">
        <v>333500</v>
      </c>
      <c r="G12" s="50">
        <v>333500</v>
      </c>
      <c r="H12" s="50">
        <v>333500</v>
      </c>
      <c r="I12" s="50">
        <v>475500</v>
      </c>
      <c r="J12" s="50">
        <v>393143</v>
      </c>
      <c r="K12" s="50">
        <v>415857</v>
      </c>
      <c r="L12" s="50">
        <v>0</v>
      </c>
      <c r="M12" s="50">
        <v>0</v>
      </c>
      <c r="N12" s="50">
        <v>0</v>
      </c>
      <c r="O12" s="50">
        <v>0</v>
      </c>
      <c r="P12" s="50">
        <f>SUM(D12:O12)</f>
        <v>2952000</v>
      </c>
    </row>
    <row r="13" spans="1:17" s="48" customFormat="1" ht="12.75" x14ac:dyDescent="0.2">
      <c r="A13" s="49" t="s">
        <v>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/>
    </row>
    <row r="14" spans="1:17" s="48" customFormat="1" ht="12.75" x14ac:dyDescent="0.2">
      <c r="A14" s="49" t="s">
        <v>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17" s="48" customFormat="1" ht="12.75" x14ac:dyDescent="0.2">
      <c r="A15" s="49" t="s">
        <v>6</v>
      </c>
      <c r="B15" s="50">
        <v>24877631</v>
      </c>
      <c r="C15" s="50">
        <v>27565179</v>
      </c>
      <c r="D15" s="50">
        <f>830174.3+834771.05+107489.88</f>
        <v>1772435.23</v>
      </c>
      <c r="E15" s="50">
        <f>1039218.29+1043010.65+138088.05</f>
        <v>2220316.9899999998</v>
      </c>
      <c r="F15" s="50">
        <f>934298.1+937942.49+124357.63</f>
        <v>1996598.2199999997</v>
      </c>
      <c r="G15" s="50">
        <f>940371.87+944024.82+125598.15</f>
        <v>2009994.8399999999</v>
      </c>
      <c r="H15" s="50">
        <v>2075063.15</v>
      </c>
      <c r="I15" s="50">
        <f>999898.33+1003635.24+131275.81</f>
        <v>2134809.38</v>
      </c>
      <c r="J15" s="50">
        <f>982220.6+985932.57+129609.95</f>
        <v>2097763.12</v>
      </c>
      <c r="K15" s="50">
        <f>969884+973578.57+127695.95</f>
        <v>2071158.5199999998</v>
      </c>
      <c r="L15" s="50">
        <v>0</v>
      </c>
      <c r="M15" s="50">
        <v>0</v>
      </c>
      <c r="N15" s="50">
        <v>0</v>
      </c>
      <c r="O15" s="50">
        <v>0</v>
      </c>
      <c r="P15" s="50">
        <f t="shared" ref="P15:P25" si="1">SUM(D15:O15)</f>
        <v>16378139.449999999</v>
      </c>
    </row>
    <row r="16" spans="1:17" s="48" customFormat="1" ht="12.75" x14ac:dyDescent="0.2">
      <c r="A16" s="46" t="s">
        <v>7</v>
      </c>
      <c r="B16" s="47">
        <f t="shared" ref="B16:G16" si="2">B17+B18+B19+B20+B21+B22+B23+B24+B25</f>
        <v>83152099</v>
      </c>
      <c r="C16" s="47">
        <f t="shared" si="2"/>
        <v>89303780.409999996</v>
      </c>
      <c r="D16" s="47">
        <f t="shared" si="2"/>
        <v>4195312.53</v>
      </c>
      <c r="E16" s="47">
        <f>E17+E18+E19+E20+E21+E22+E23+E24+E25</f>
        <v>5136944.09</v>
      </c>
      <c r="F16" s="47">
        <f t="shared" si="2"/>
        <v>8706612.4900000002</v>
      </c>
      <c r="G16" s="47">
        <f t="shared" si="2"/>
        <v>4273732.05</v>
      </c>
      <c r="H16" s="47">
        <f t="shared" ref="H16:O16" si="3">H17+H18+H19+H20+H21+H22+H23+H24+H25</f>
        <v>5408974.8200000003</v>
      </c>
      <c r="I16" s="47">
        <f t="shared" si="3"/>
        <v>11222477.609999999</v>
      </c>
      <c r="J16" s="47">
        <f t="shared" si="3"/>
        <v>7108510.9700000007</v>
      </c>
      <c r="K16" s="47">
        <f t="shared" si="3"/>
        <v>5178562.34</v>
      </c>
      <c r="L16" s="47">
        <f t="shared" si="3"/>
        <v>0</v>
      </c>
      <c r="M16" s="47">
        <f t="shared" si="3"/>
        <v>0</v>
      </c>
      <c r="N16" s="47">
        <f t="shared" si="3"/>
        <v>0</v>
      </c>
      <c r="O16" s="47">
        <f t="shared" si="3"/>
        <v>0</v>
      </c>
      <c r="P16" s="47">
        <f t="shared" si="1"/>
        <v>51231126.900000006</v>
      </c>
    </row>
    <row r="17" spans="1:16" s="48" customFormat="1" ht="12.75" x14ac:dyDescent="0.2">
      <c r="A17" s="49" t="s">
        <v>8</v>
      </c>
      <c r="B17" s="50">
        <v>26752090</v>
      </c>
      <c r="C17" s="50">
        <v>26819657.5</v>
      </c>
      <c r="D17" s="50">
        <f>691768.57+394996.41+1670784.43+518358.91+3094+1600</f>
        <v>3280602.3200000003</v>
      </c>
      <c r="E17" s="50">
        <f>392341.28+207269.58+1075113.15+430030.45+900</f>
        <v>2105654.46</v>
      </c>
      <c r="F17" s="50">
        <f>604959.42+281054.54+1014771.82+478298.88+6188+5070</f>
        <v>2390342.6599999997</v>
      </c>
      <c r="G17" s="50">
        <f>529931.15+190610.74+950116.33+491934.35+3094+1900+25219.3</f>
        <v>2192805.8699999996</v>
      </c>
      <c r="H17" s="50">
        <v>1864517.6</v>
      </c>
      <c r="I17" s="50">
        <f>527282.61+230059.32+895577.66+533013.13+3094+3030</f>
        <v>2192056.7199999997</v>
      </c>
      <c r="J17" s="50">
        <f>492957.9+184377.23+894687.19+593176.69+3094+2500</f>
        <v>2170793.0099999998</v>
      </c>
      <c r="K17" s="50">
        <f>442898.62+170449.28+993786.79+642323.11+3094+2500-81355.19</f>
        <v>2173696.61</v>
      </c>
      <c r="L17" s="50">
        <v>0</v>
      </c>
      <c r="M17" s="50">
        <v>0</v>
      </c>
      <c r="N17" s="50">
        <v>0</v>
      </c>
      <c r="O17" s="50">
        <v>0</v>
      </c>
      <c r="P17" s="50">
        <f t="shared" si="1"/>
        <v>18370469.25</v>
      </c>
    </row>
    <row r="18" spans="1:16" s="48" customFormat="1" ht="12.75" x14ac:dyDescent="0.2">
      <c r="A18" s="49" t="s">
        <v>9</v>
      </c>
      <c r="B18" s="50">
        <v>104500</v>
      </c>
      <c r="C18" s="50">
        <v>44500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14348.8</v>
      </c>
      <c r="L18" s="50">
        <v>0</v>
      </c>
      <c r="M18" s="50">
        <v>0</v>
      </c>
      <c r="N18" s="50">
        <v>0</v>
      </c>
      <c r="O18" s="50">
        <v>0</v>
      </c>
      <c r="P18" s="50">
        <f t="shared" si="1"/>
        <v>14348.8</v>
      </c>
    </row>
    <row r="19" spans="1:16" s="48" customFormat="1" ht="12.75" x14ac:dyDescent="0.2">
      <c r="A19" s="49" t="s">
        <v>10</v>
      </c>
      <c r="B19" s="50">
        <v>2036000</v>
      </c>
      <c r="C19" s="50">
        <v>5263277.7699999996</v>
      </c>
      <c r="D19" s="50">
        <v>23335</v>
      </c>
      <c r="E19" s="50">
        <v>1380385</v>
      </c>
      <c r="F19" s="50">
        <v>2238100</v>
      </c>
      <c r="G19" s="50">
        <v>258797.5</v>
      </c>
      <c r="H19" s="50">
        <v>178047.5</v>
      </c>
      <c r="I19" s="50">
        <f>192801.5+22118.4</f>
        <v>214919.9</v>
      </c>
      <c r="J19" s="50">
        <v>157933.34</v>
      </c>
      <c r="K19" s="50">
        <v>39845</v>
      </c>
      <c r="L19" s="50">
        <v>0</v>
      </c>
      <c r="M19" s="50">
        <v>0</v>
      </c>
      <c r="N19" s="50">
        <v>0</v>
      </c>
      <c r="O19" s="50">
        <v>0</v>
      </c>
      <c r="P19" s="50">
        <f t="shared" si="1"/>
        <v>4491363.24</v>
      </c>
    </row>
    <row r="20" spans="1:16" s="48" customFormat="1" ht="12.75" x14ac:dyDescent="0.2">
      <c r="A20" s="49" t="s">
        <v>11</v>
      </c>
      <c r="B20" s="50">
        <v>219000</v>
      </c>
      <c r="C20" s="50">
        <v>219000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f t="shared" si="1"/>
        <v>0</v>
      </c>
    </row>
    <row r="21" spans="1:16" s="48" customFormat="1" ht="12.75" x14ac:dyDescent="0.2">
      <c r="A21" s="49" t="s">
        <v>12</v>
      </c>
      <c r="B21" s="50">
        <v>23260000</v>
      </c>
      <c r="C21" s="50">
        <v>22631281.059999999</v>
      </c>
      <c r="D21" s="50">
        <v>81184</v>
      </c>
      <c r="E21" s="50">
        <v>0</v>
      </c>
      <c r="F21" s="50">
        <v>1053902.8400000001</v>
      </c>
      <c r="G21" s="50">
        <f>97804.8+114762.08</f>
        <v>212566.88</v>
      </c>
      <c r="H21" s="50">
        <v>104184</v>
      </c>
      <c r="I21" s="50">
        <f>7646959.39+81184</f>
        <v>7728143.3899999997</v>
      </c>
      <c r="J21" s="50">
        <f>2573070.15+81184</f>
        <v>2654254.15</v>
      </c>
      <c r="K21" s="50">
        <f>284528.02+465184+115862.4</f>
        <v>865574.42</v>
      </c>
      <c r="L21" s="50">
        <v>0</v>
      </c>
      <c r="M21" s="50">
        <v>0</v>
      </c>
      <c r="N21" s="50">
        <v>0</v>
      </c>
      <c r="O21" s="50">
        <v>0</v>
      </c>
      <c r="P21" s="50">
        <f t="shared" si="1"/>
        <v>12699809.68</v>
      </c>
    </row>
    <row r="22" spans="1:16" s="48" customFormat="1" ht="12.75" x14ac:dyDescent="0.2">
      <c r="A22" s="49" t="s">
        <v>13</v>
      </c>
      <c r="B22" s="50">
        <v>15692720</v>
      </c>
      <c r="C22" s="50">
        <v>17421617</v>
      </c>
      <c r="D22" s="50">
        <v>660239.43999999994</v>
      </c>
      <c r="E22" s="50">
        <v>1366288.89</v>
      </c>
      <c r="F22" s="50">
        <v>953165.64</v>
      </c>
      <c r="G22" s="50">
        <f>646085.95+612149.3</f>
        <v>1258235.25</v>
      </c>
      <c r="H22" s="50">
        <v>1392878.65</v>
      </c>
      <c r="I22" s="50">
        <v>684422.25</v>
      </c>
      <c r="J22" s="50">
        <f>26869.94+1078112.21</f>
        <v>1104982.1499999999</v>
      </c>
      <c r="K22" s="50">
        <v>1472679.09</v>
      </c>
      <c r="L22" s="50">
        <v>0</v>
      </c>
      <c r="M22" s="50">
        <v>0</v>
      </c>
      <c r="N22" s="50">
        <v>0</v>
      </c>
      <c r="O22" s="50">
        <v>0</v>
      </c>
      <c r="P22" s="50">
        <f t="shared" si="1"/>
        <v>8892891.3599999994</v>
      </c>
    </row>
    <row r="23" spans="1:16" s="48" customFormat="1" ht="25.5" x14ac:dyDescent="0.2">
      <c r="A23" s="52" t="s">
        <v>14</v>
      </c>
      <c r="B23" s="50">
        <v>2671200</v>
      </c>
      <c r="C23" s="50">
        <v>3682220</v>
      </c>
      <c r="D23" s="50">
        <v>0</v>
      </c>
      <c r="E23" s="50">
        <f>41300+40493.66</f>
        <v>81793.66</v>
      </c>
      <c r="F23" s="50">
        <f>88736+70682</f>
        <v>159418</v>
      </c>
      <c r="G23" s="50">
        <v>25299.200000000001</v>
      </c>
      <c r="H23" s="50">
        <v>1575836.9</v>
      </c>
      <c r="I23" s="50">
        <v>41300</v>
      </c>
      <c r="J23" s="50">
        <f>500000+41300+24091.66</f>
        <v>565391.66</v>
      </c>
      <c r="K23" s="50">
        <v>41300</v>
      </c>
      <c r="L23" s="50">
        <v>0</v>
      </c>
      <c r="M23" s="50">
        <v>0</v>
      </c>
      <c r="N23" s="50">
        <v>0</v>
      </c>
      <c r="O23" s="50">
        <v>0</v>
      </c>
      <c r="P23" s="50">
        <f t="shared" si="1"/>
        <v>2490339.42</v>
      </c>
    </row>
    <row r="24" spans="1:16" s="48" customFormat="1" ht="12.75" x14ac:dyDescent="0.2">
      <c r="A24" s="49" t="s">
        <v>15</v>
      </c>
      <c r="B24" s="50">
        <v>8218589</v>
      </c>
      <c r="C24" s="50">
        <v>9172701.2599999998</v>
      </c>
      <c r="D24" s="50">
        <f>16000</f>
        <v>16000</v>
      </c>
      <c r="E24" s="50">
        <f>58970.5+16000+35400</f>
        <v>110370.5</v>
      </c>
      <c r="F24" s="50">
        <f>16000+1063230.3</f>
        <v>1079230.3</v>
      </c>
      <c r="G24" s="50">
        <f>22479+16000+233208.12+24072</f>
        <v>295759.12</v>
      </c>
      <c r="H24" s="50">
        <v>124969.5</v>
      </c>
      <c r="I24" s="50">
        <f>16000+41064</f>
        <v>57064</v>
      </c>
      <c r="J24" s="50">
        <f>11741+194180.05+16000</f>
        <v>221921.05</v>
      </c>
      <c r="K24" s="50">
        <f>18880+16000+45312</f>
        <v>80192</v>
      </c>
      <c r="L24" s="50">
        <v>0</v>
      </c>
      <c r="M24" s="50">
        <v>0</v>
      </c>
      <c r="N24" s="50">
        <v>0</v>
      </c>
      <c r="O24" s="50">
        <v>0</v>
      </c>
      <c r="P24" s="50">
        <f t="shared" si="1"/>
        <v>1985506.47</v>
      </c>
    </row>
    <row r="25" spans="1:16" s="48" customFormat="1" ht="12.75" x14ac:dyDescent="0.2">
      <c r="A25" s="49" t="s">
        <v>16</v>
      </c>
      <c r="B25" s="50">
        <v>4198000</v>
      </c>
      <c r="C25" s="50">
        <v>4049525.82</v>
      </c>
      <c r="D25" s="50">
        <v>133951.76999999999</v>
      </c>
      <c r="E25" s="50">
        <v>92451.58</v>
      </c>
      <c r="F25" s="50">
        <v>832453.05</v>
      </c>
      <c r="G25" s="50">
        <f>10000.5+20267.73</f>
        <v>30268.23</v>
      </c>
      <c r="H25" s="50">
        <v>168540.67</v>
      </c>
      <c r="I25" s="50">
        <f>224267.04+80304.31</f>
        <v>304571.34999999998</v>
      </c>
      <c r="J25" s="50">
        <v>233235.61</v>
      </c>
      <c r="K25" s="50">
        <f>438121+52805.42</f>
        <v>490926.42</v>
      </c>
      <c r="L25" s="50">
        <v>0</v>
      </c>
      <c r="M25" s="50">
        <v>0</v>
      </c>
      <c r="N25" s="50">
        <v>0</v>
      </c>
      <c r="O25" s="50">
        <v>0</v>
      </c>
      <c r="P25" s="50">
        <f t="shared" si="1"/>
        <v>2286398.6799999997</v>
      </c>
    </row>
    <row r="26" spans="1:16" s="48" customFormat="1" ht="12.75" x14ac:dyDescent="0.2">
      <c r="A26" s="46" t="s">
        <v>17</v>
      </c>
      <c r="B26" s="47">
        <f>B27+B28+B29+B30+B31+B32+B33+B35</f>
        <v>12083506</v>
      </c>
      <c r="C26" s="47">
        <f>C27+C28+C29+C30+C31+C32+C33+C35</f>
        <v>12551431</v>
      </c>
      <c r="D26" s="47">
        <f t="shared" ref="D26:P26" si="4">D27+D28+D29+D30+D31+D32+D33+D35</f>
        <v>452000</v>
      </c>
      <c r="E26" s="47">
        <f t="shared" si="4"/>
        <v>495390.28</v>
      </c>
      <c r="F26" s="47">
        <f t="shared" si="4"/>
        <v>683323.69000000006</v>
      </c>
      <c r="G26" s="47">
        <f t="shared" si="4"/>
        <v>792380.51</v>
      </c>
      <c r="H26" s="47">
        <f t="shared" si="4"/>
        <v>548610</v>
      </c>
      <c r="I26" s="47">
        <f t="shared" si="4"/>
        <v>829057.72</v>
      </c>
      <c r="J26" s="47">
        <f t="shared" si="4"/>
        <v>1216106.6299999999</v>
      </c>
      <c r="K26" s="47">
        <f t="shared" si="4"/>
        <v>1319986.5299999998</v>
      </c>
      <c r="L26" s="47">
        <f t="shared" si="4"/>
        <v>0</v>
      </c>
      <c r="M26" s="47">
        <f t="shared" si="4"/>
        <v>0</v>
      </c>
      <c r="N26" s="47">
        <f t="shared" si="4"/>
        <v>0</v>
      </c>
      <c r="O26" s="47">
        <f t="shared" si="4"/>
        <v>0</v>
      </c>
      <c r="P26" s="47">
        <f t="shared" si="4"/>
        <v>6336855.3600000003</v>
      </c>
    </row>
    <row r="27" spans="1:16" s="48" customFormat="1" ht="12.75" x14ac:dyDescent="0.2">
      <c r="A27" s="49" t="s">
        <v>18</v>
      </c>
      <c r="B27" s="50">
        <v>460000</v>
      </c>
      <c r="C27" s="50">
        <v>512000</v>
      </c>
      <c r="D27" s="50">
        <v>0</v>
      </c>
      <c r="E27" s="50">
        <v>29480</v>
      </c>
      <c r="F27" s="50">
        <v>15420</v>
      </c>
      <c r="G27" s="50">
        <v>248319.51</v>
      </c>
      <c r="H27" s="50">
        <v>9360</v>
      </c>
      <c r="I27" s="50">
        <v>38259</v>
      </c>
      <c r="J27" s="50">
        <v>9000</v>
      </c>
      <c r="K27" s="50">
        <f>15050+18703</f>
        <v>33753</v>
      </c>
      <c r="L27" s="50">
        <v>0</v>
      </c>
      <c r="M27" s="50">
        <v>0</v>
      </c>
      <c r="N27" s="50">
        <v>0</v>
      </c>
      <c r="O27" s="50">
        <v>0</v>
      </c>
      <c r="P27" s="50">
        <f t="shared" ref="P27:P34" si="5">SUM(D27:O27)</f>
        <v>383591.51</v>
      </c>
    </row>
    <row r="28" spans="1:16" s="48" customFormat="1" ht="12.75" x14ac:dyDescent="0.2">
      <c r="A28" s="49" t="s">
        <v>19</v>
      </c>
      <c r="B28" s="50">
        <v>70000</v>
      </c>
      <c r="C28" s="50">
        <v>29000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21387.5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f t="shared" si="5"/>
        <v>21387.5</v>
      </c>
    </row>
    <row r="29" spans="1:16" s="48" customFormat="1" ht="12.75" x14ac:dyDescent="0.2">
      <c r="A29" s="49" t="s">
        <v>20</v>
      </c>
      <c r="B29" s="50">
        <v>300000</v>
      </c>
      <c r="C29" s="50">
        <v>190157</v>
      </c>
      <c r="D29" s="50">
        <v>0</v>
      </c>
      <c r="E29" s="50">
        <v>0</v>
      </c>
      <c r="F29" s="50">
        <v>17552.5</v>
      </c>
      <c r="G29" s="50">
        <f>6549+5304.1</f>
        <v>11853.1</v>
      </c>
      <c r="H29" s="50">
        <v>0</v>
      </c>
      <c r="I29" s="50">
        <v>90010.4</v>
      </c>
      <c r="J29" s="50">
        <v>26850.02</v>
      </c>
      <c r="K29" s="50">
        <v>12150</v>
      </c>
      <c r="L29" s="50">
        <v>0</v>
      </c>
      <c r="M29" s="50">
        <v>0</v>
      </c>
      <c r="N29" s="50">
        <v>0</v>
      </c>
      <c r="O29" s="50">
        <v>0</v>
      </c>
      <c r="P29" s="50">
        <f t="shared" si="5"/>
        <v>158416.01999999999</v>
      </c>
    </row>
    <row r="30" spans="1:16" s="48" customFormat="1" ht="12.75" x14ac:dyDescent="0.2">
      <c r="A30" s="49" t="s">
        <v>21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f t="shared" si="5"/>
        <v>0</v>
      </c>
    </row>
    <row r="31" spans="1:16" s="48" customFormat="1" ht="12.75" x14ac:dyDescent="0.2">
      <c r="A31" s="49" t="s">
        <v>22</v>
      </c>
      <c r="B31" s="50">
        <v>1200000</v>
      </c>
      <c r="C31" s="50">
        <v>208907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184632.71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f t="shared" si="5"/>
        <v>184632.71</v>
      </c>
    </row>
    <row r="32" spans="1:16" s="48" customFormat="1" ht="12.75" x14ac:dyDescent="0.2">
      <c r="A32" s="49" t="s">
        <v>23</v>
      </c>
      <c r="B32" s="50">
        <v>200000</v>
      </c>
      <c r="C32" s="50">
        <v>58000</v>
      </c>
      <c r="D32" s="50">
        <v>0</v>
      </c>
      <c r="E32" s="50">
        <v>0</v>
      </c>
      <c r="F32" s="50">
        <f>5315.39+3639.38+590</f>
        <v>9544.77</v>
      </c>
      <c r="G32" s="50">
        <v>0</v>
      </c>
      <c r="H32" s="50">
        <v>0</v>
      </c>
      <c r="I32" s="50">
        <v>0</v>
      </c>
      <c r="J32" s="50">
        <v>0</v>
      </c>
      <c r="K32" s="50">
        <v>1815.99</v>
      </c>
      <c r="L32" s="50">
        <v>0</v>
      </c>
      <c r="M32" s="50">
        <v>0</v>
      </c>
      <c r="N32" s="50">
        <v>0</v>
      </c>
      <c r="O32" s="50">
        <v>0</v>
      </c>
      <c r="P32" s="50">
        <f t="shared" si="5"/>
        <v>11360.76</v>
      </c>
    </row>
    <row r="33" spans="1:16" s="48" customFormat="1" ht="12.75" x14ac:dyDescent="0.2">
      <c r="A33" s="49" t="s">
        <v>24</v>
      </c>
      <c r="B33" s="50">
        <v>9140000</v>
      </c>
      <c r="C33" s="50">
        <v>10186750</v>
      </c>
      <c r="D33" s="50">
        <v>452000</v>
      </c>
      <c r="E33" s="50">
        <v>442000</v>
      </c>
      <c r="F33" s="50">
        <f>484000+99999.99+9318.46+1607.16</f>
        <v>594925.61</v>
      </c>
      <c r="G33" s="50">
        <f>500500+649</f>
        <v>501149</v>
      </c>
      <c r="H33" s="50">
        <v>524500</v>
      </c>
      <c r="I33" s="50">
        <v>535500</v>
      </c>
      <c r="J33" s="50">
        <v>550000</v>
      </c>
      <c r="K33" s="50">
        <f>855999.2+99881.6+1600.08+70546.3+2389.5</f>
        <v>1030416.6799999999</v>
      </c>
      <c r="L33" s="50">
        <v>0</v>
      </c>
      <c r="M33" s="50">
        <v>0</v>
      </c>
      <c r="N33" s="50">
        <v>0</v>
      </c>
      <c r="O33" s="50">
        <v>0</v>
      </c>
      <c r="P33" s="50">
        <f t="shared" si="5"/>
        <v>4630491.29</v>
      </c>
    </row>
    <row r="34" spans="1:16" s="48" customFormat="1" ht="12.75" x14ac:dyDescent="0.2">
      <c r="A34" s="49" t="s">
        <v>25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f t="shared" si="5"/>
        <v>0</v>
      </c>
    </row>
    <row r="35" spans="1:16" s="48" customFormat="1" ht="12.75" x14ac:dyDescent="0.2">
      <c r="A35" s="49" t="s">
        <v>26</v>
      </c>
      <c r="B35" s="50">
        <v>713506</v>
      </c>
      <c r="C35" s="50">
        <v>1366617</v>
      </c>
      <c r="D35" s="50">
        <v>0</v>
      </c>
      <c r="E35" s="50">
        <v>23910.28</v>
      </c>
      <c r="F35" s="50">
        <f>8754.48+23883.2+365.8+12602.39+274.94</f>
        <v>45880.810000000005</v>
      </c>
      <c r="G35" s="50">
        <f>5752.5+955.8+24350.6</f>
        <v>31058.899999999998</v>
      </c>
      <c r="H35" s="50">
        <v>14750</v>
      </c>
      <c r="I35" s="50">
        <f>36839.4+5195.19+71862+4245.35+45922.18+1224.2</f>
        <v>165288.32000000001</v>
      </c>
      <c r="J35" s="50">
        <f>137997+201550.8+1380.6+83308</f>
        <v>424236.39999999997</v>
      </c>
      <c r="K35" s="50">
        <f>67339.48+25378.26+149133.12</f>
        <v>241850.86</v>
      </c>
      <c r="L35" s="50">
        <v>0</v>
      </c>
      <c r="M35" s="50">
        <v>0</v>
      </c>
      <c r="N35" s="50">
        <v>0</v>
      </c>
      <c r="O35" s="50">
        <v>0</v>
      </c>
      <c r="P35" s="50">
        <f>SUM(D35:O35)</f>
        <v>946975.57</v>
      </c>
    </row>
    <row r="36" spans="1:16" s="48" customFormat="1" ht="12.75" x14ac:dyDescent="0.2">
      <c r="A36" s="46" t="s">
        <v>27</v>
      </c>
      <c r="B36" s="47">
        <f>B37</f>
        <v>40000</v>
      </c>
      <c r="C36" s="47">
        <f>C37</f>
        <v>40000</v>
      </c>
      <c r="D36" s="47">
        <f t="shared" ref="D36:P36" si="6">D37</f>
        <v>0</v>
      </c>
      <c r="E36" s="47">
        <f t="shared" si="6"/>
        <v>0</v>
      </c>
      <c r="F36" s="47">
        <f t="shared" si="6"/>
        <v>0</v>
      </c>
      <c r="G36" s="47">
        <f t="shared" si="6"/>
        <v>20000</v>
      </c>
      <c r="H36" s="47">
        <f t="shared" si="6"/>
        <v>0</v>
      </c>
      <c r="I36" s="47">
        <f t="shared" si="6"/>
        <v>0</v>
      </c>
      <c r="J36" s="47">
        <f t="shared" si="6"/>
        <v>20000</v>
      </c>
      <c r="K36" s="47">
        <f t="shared" si="6"/>
        <v>0</v>
      </c>
      <c r="L36" s="47">
        <f t="shared" si="6"/>
        <v>0</v>
      </c>
      <c r="M36" s="47">
        <f t="shared" si="6"/>
        <v>0</v>
      </c>
      <c r="N36" s="47">
        <f t="shared" si="6"/>
        <v>0</v>
      </c>
      <c r="O36" s="47">
        <f t="shared" si="6"/>
        <v>0</v>
      </c>
      <c r="P36" s="47">
        <f t="shared" si="6"/>
        <v>40000</v>
      </c>
    </row>
    <row r="37" spans="1:16" s="48" customFormat="1" ht="12.75" x14ac:dyDescent="0.2">
      <c r="A37" s="49" t="s">
        <v>28</v>
      </c>
      <c r="B37" s="50">
        <v>40000</v>
      </c>
      <c r="C37" s="50">
        <v>40000</v>
      </c>
      <c r="D37" s="50">
        <v>0</v>
      </c>
      <c r="E37" s="50">
        <v>0</v>
      </c>
      <c r="F37" s="50">
        <v>0</v>
      </c>
      <c r="G37" s="50">
        <v>20000</v>
      </c>
      <c r="H37" s="50">
        <v>0</v>
      </c>
      <c r="I37" s="50">
        <v>0</v>
      </c>
      <c r="J37" s="50">
        <v>20000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f>SUM(D37:O37)</f>
        <v>40000</v>
      </c>
    </row>
    <row r="38" spans="1:16" s="48" customFormat="1" ht="12.75" x14ac:dyDescent="0.2">
      <c r="A38" s="49" t="s">
        <v>29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</row>
    <row r="39" spans="1:16" s="48" customFormat="1" ht="12.75" x14ac:dyDescent="0.2">
      <c r="A39" s="49" t="s">
        <v>30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48" customFormat="1" ht="12.75" x14ac:dyDescent="0.2">
      <c r="A40" s="49" t="s">
        <v>31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s="48" customFormat="1" ht="12.75" x14ac:dyDescent="0.2">
      <c r="A41" s="49" t="s">
        <v>32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48" customFormat="1" ht="12.75" x14ac:dyDescent="0.2">
      <c r="A42" s="49" t="s">
        <v>33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</row>
    <row r="43" spans="1:16" s="48" customFormat="1" ht="12.75" x14ac:dyDescent="0.2">
      <c r="A43" s="49" t="s">
        <v>34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</row>
    <row r="44" spans="1:16" s="48" customFormat="1" ht="12.75" x14ac:dyDescent="0.2">
      <c r="A44" s="49" t="s">
        <v>35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</row>
    <row r="45" spans="1:16" s="48" customFormat="1" ht="12.75" x14ac:dyDescent="0.2">
      <c r="A45" s="46" t="s">
        <v>36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</row>
    <row r="46" spans="1:16" s="48" customFormat="1" ht="12.75" x14ac:dyDescent="0.2">
      <c r="A46" s="49" t="s">
        <v>37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48" customFormat="1" ht="12.75" x14ac:dyDescent="0.2">
      <c r="A47" s="49" t="s">
        <v>38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s="48" customFormat="1" ht="12.75" x14ac:dyDescent="0.2">
      <c r="A48" s="49" t="s">
        <v>39</v>
      </c>
      <c r="B48" s="50">
        <v>0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s="48" customFormat="1" ht="12.75" x14ac:dyDescent="0.2">
      <c r="A49" s="49" t="s">
        <v>40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48" customFormat="1" ht="12.75" x14ac:dyDescent="0.2">
      <c r="A50" s="49" t="s">
        <v>41</v>
      </c>
      <c r="B50" s="50">
        <v>0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</row>
    <row r="51" spans="1:16" s="48" customFormat="1" ht="12.75" x14ac:dyDescent="0.2">
      <c r="A51" s="49" t="s">
        <v>42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48" customFormat="1" ht="12.75" x14ac:dyDescent="0.2">
      <c r="A52" s="46" t="s">
        <v>43</v>
      </c>
      <c r="B52" s="47">
        <f>B53+B56+B57</f>
        <v>800000</v>
      </c>
      <c r="C52" s="47">
        <f>C53+C56+C57+C54+C60+C58</f>
        <v>1066500</v>
      </c>
      <c r="D52" s="47">
        <f>D53+D56+D57</f>
        <v>0</v>
      </c>
      <c r="E52" s="47">
        <f>E53+E56+E57</f>
        <v>0</v>
      </c>
      <c r="F52" s="47">
        <f>F53+F56+F57+F60</f>
        <v>78698.92</v>
      </c>
      <c r="G52" s="47">
        <f>G53+G56+G57</f>
        <v>0</v>
      </c>
      <c r="H52" s="47">
        <f>H54+H53+H58</f>
        <v>50032</v>
      </c>
      <c r="I52" s="47">
        <f t="shared" ref="I52:M52" si="7">I53+I56+I57</f>
        <v>0</v>
      </c>
      <c r="J52" s="47">
        <f t="shared" si="7"/>
        <v>494157.59</v>
      </c>
      <c r="K52" s="47">
        <f t="shared" si="7"/>
        <v>4163.04</v>
      </c>
      <c r="L52" s="47">
        <f>L53+L56+L57+L54</f>
        <v>0</v>
      </c>
      <c r="M52" s="47">
        <f t="shared" si="7"/>
        <v>0</v>
      </c>
      <c r="N52" s="47">
        <f>N53+N56+N57+N54+N60</f>
        <v>0</v>
      </c>
      <c r="O52" s="47">
        <f>O53+O56+O57+O54</f>
        <v>0</v>
      </c>
      <c r="P52" s="47">
        <f>SUM(D52:O52)</f>
        <v>627051.55000000005</v>
      </c>
    </row>
    <row r="53" spans="1:16" s="48" customFormat="1" ht="12.75" x14ac:dyDescent="0.2">
      <c r="A53" s="49" t="s">
        <v>44</v>
      </c>
      <c r="B53" s="50">
        <v>550000</v>
      </c>
      <c r="C53" s="50">
        <v>613768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494157.59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f>SUM(D53:O53)</f>
        <v>494157.59</v>
      </c>
    </row>
    <row r="54" spans="1:16" s="48" customFormat="1" ht="12.75" x14ac:dyDescent="0.2">
      <c r="A54" s="49" t="s">
        <v>45</v>
      </c>
      <c r="B54" s="50">
        <v>0</v>
      </c>
      <c r="C54" s="50">
        <v>270000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f>SUM(D54:O54)</f>
        <v>0</v>
      </c>
    </row>
    <row r="55" spans="1:16" s="48" customFormat="1" ht="12.75" x14ac:dyDescent="0.2">
      <c r="A55" s="49" t="s">
        <v>46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f t="shared" ref="P55:P57" si="8">SUM(D55:O55)</f>
        <v>0</v>
      </c>
    </row>
    <row r="56" spans="1:16" s="48" customFormat="1" ht="12.75" x14ac:dyDescent="0.2">
      <c r="A56" s="49" t="s">
        <v>47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f t="shared" si="8"/>
        <v>0</v>
      </c>
    </row>
    <row r="57" spans="1:16" s="48" customFormat="1" ht="12.75" x14ac:dyDescent="0.2">
      <c r="A57" s="49" t="s">
        <v>48</v>
      </c>
      <c r="B57" s="50">
        <v>250000</v>
      </c>
      <c r="C57" s="50">
        <v>132700</v>
      </c>
      <c r="D57" s="50">
        <v>0</v>
      </c>
      <c r="E57" s="50">
        <v>0</v>
      </c>
      <c r="F57" s="50">
        <v>78698.92</v>
      </c>
      <c r="G57" s="50">
        <v>0</v>
      </c>
      <c r="H57" s="50">
        <v>0</v>
      </c>
      <c r="I57" s="50">
        <v>0</v>
      </c>
      <c r="J57" s="50">
        <v>0</v>
      </c>
      <c r="K57" s="50">
        <v>4163.04</v>
      </c>
      <c r="L57" s="50">
        <v>0</v>
      </c>
      <c r="M57" s="50">
        <v>0</v>
      </c>
      <c r="N57" s="50">
        <v>0</v>
      </c>
      <c r="O57" s="50">
        <v>0</v>
      </c>
      <c r="P57" s="50">
        <f t="shared" si="8"/>
        <v>82861.959999999992</v>
      </c>
    </row>
    <row r="58" spans="1:16" s="48" customFormat="1" ht="12.75" x14ac:dyDescent="0.2">
      <c r="A58" s="49" t="s">
        <v>49</v>
      </c>
      <c r="B58" s="50">
        <v>0</v>
      </c>
      <c r="C58" s="50">
        <v>50032</v>
      </c>
      <c r="D58" s="50">
        <v>0</v>
      </c>
      <c r="E58" s="50">
        <v>0</v>
      </c>
      <c r="F58" s="50">
        <v>0</v>
      </c>
      <c r="G58" s="50">
        <v>0</v>
      </c>
      <c r="H58" s="50">
        <v>50032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48" customFormat="1" ht="12.75" x14ac:dyDescent="0.2">
      <c r="A59" s="49" t="s">
        <v>50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</row>
    <row r="60" spans="1:16" s="48" customFormat="1" ht="12.75" x14ac:dyDescent="0.2">
      <c r="A60" s="49" t="s">
        <v>51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f>SUM(D60:O60)</f>
        <v>0</v>
      </c>
    </row>
    <row r="61" spans="1:16" s="48" customFormat="1" ht="12.75" x14ac:dyDescent="0.2">
      <c r="A61" s="49" t="s">
        <v>52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48" customFormat="1" ht="12.75" x14ac:dyDescent="0.2">
      <c r="A62" s="46" t="s">
        <v>53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16" s="48" customFormat="1" ht="12.75" x14ac:dyDescent="0.2">
      <c r="A63" s="49" t="s">
        <v>54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s="48" customFormat="1" ht="12.75" x14ac:dyDescent="0.2">
      <c r="A64" s="49" t="s">
        <v>55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48" customFormat="1" ht="12.75" x14ac:dyDescent="0.2">
      <c r="A65" s="49" t="s">
        <v>56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</row>
    <row r="66" spans="1:16" s="48" customFormat="1" ht="25.5" x14ac:dyDescent="0.2">
      <c r="A66" s="52" t="s">
        <v>57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</row>
    <row r="67" spans="1:16" s="48" customFormat="1" ht="12.75" x14ac:dyDescent="0.2">
      <c r="A67" s="46" t="s">
        <v>58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1:16" s="48" customFormat="1" ht="12.75" x14ac:dyDescent="0.2">
      <c r="A68" s="49" t="s">
        <v>59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</row>
    <row r="69" spans="1:16" s="48" customFormat="1" ht="12.75" x14ac:dyDescent="0.2">
      <c r="A69" s="49" t="s">
        <v>60</v>
      </c>
      <c r="B69" s="50">
        <v>0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</row>
    <row r="70" spans="1:16" s="48" customFormat="1" ht="12.75" x14ac:dyDescent="0.2">
      <c r="A70" s="46" t="s">
        <v>61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1:16" s="48" customFormat="1" ht="12.75" x14ac:dyDescent="0.2">
      <c r="A71" s="49" t="s">
        <v>62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s="48" customFormat="1" ht="12.75" x14ac:dyDescent="0.2">
      <c r="A72" s="49" t="s">
        <v>63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s="48" customFormat="1" ht="12.75" x14ac:dyDescent="0.2">
      <c r="A73" s="49" t="s">
        <v>64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</row>
    <row r="74" spans="1:16" s="48" customFormat="1" ht="12.75" x14ac:dyDescent="0.2">
      <c r="A74" s="53" t="s">
        <v>67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</row>
    <row r="75" spans="1:16" s="48" customFormat="1" ht="12.75" x14ac:dyDescent="0.2">
      <c r="A75" s="46" t="s">
        <v>68</v>
      </c>
      <c r="B75" s="47"/>
      <c r="C75" s="47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</row>
    <row r="76" spans="1:16" s="48" customFormat="1" ht="12.75" x14ac:dyDescent="0.2">
      <c r="A76" s="49" t="s">
        <v>69</v>
      </c>
      <c r="B76" s="50">
        <v>0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48" customFormat="1" ht="12.75" x14ac:dyDescent="0.2">
      <c r="A77" s="49" t="s">
        <v>70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s="48" customFormat="1" ht="12.75" x14ac:dyDescent="0.2">
      <c r="A78" s="46" t="s">
        <v>71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1:16" s="48" customFormat="1" ht="12.75" x14ac:dyDescent="0.2">
      <c r="A79" s="49" t="s">
        <v>72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</row>
    <row r="80" spans="1:16" s="48" customFormat="1" ht="12.75" x14ac:dyDescent="0.2">
      <c r="A80" s="49" t="s">
        <v>73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</row>
    <row r="81" spans="1:16" s="48" customFormat="1" ht="12.75" x14ac:dyDescent="0.2">
      <c r="A81" s="46" t="s">
        <v>74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</row>
    <row r="82" spans="1:16" s="48" customFormat="1" ht="12.75" x14ac:dyDescent="0.2">
      <c r="A82" s="49" t="s">
        <v>75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</row>
    <row r="83" spans="1:16" ht="20.25" customHeight="1" x14ac:dyDescent="0.25">
      <c r="A83" s="9" t="s">
        <v>65</v>
      </c>
      <c r="B83" s="27">
        <f>B52+B36+B26+B16+B10</f>
        <v>329086705</v>
      </c>
      <c r="C83" s="27">
        <f>C52+C36+C26+C16+C10</f>
        <v>360632914.40999997</v>
      </c>
      <c r="D83" s="27">
        <f t="shared" ref="D83:P83" si="9">D52+D36+D26+D16+D10</f>
        <v>21115559.48</v>
      </c>
      <c r="E83" s="27">
        <f t="shared" si="9"/>
        <v>23527111.510000002</v>
      </c>
      <c r="F83" s="27">
        <f t="shared" si="9"/>
        <v>26609292.530000001</v>
      </c>
      <c r="G83" s="27">
        <f>G52+G36+G26+G16+G10</f>
        <v>33869000.619999997</v>
      </c>
      <c r="H83" s="27">
        <f t="shared" si="9"/>
        <v>22760804.329999998</v>
      </c>
      <c r="I83" s="27">
        <f t="shared" si="9"/>
        <v>29618918.339999996</v>
      </c>
      <c r="J83" s="27">
        <f t="shared" si="9"/>
        <v>25722055.670000002</v>
      </c>
      <c r="K83" s="27">
        <f t="shared" si="9"/>
        <v>23210869.670000002</v>
      </c>
      <c r="L83" s="27">
        <f t="shared" si="9"/>
        <v>0</v>
      </c>
      <c r="M83" s="27">
        <f t="shared" si="9"/>
        <v>0</v>
      </c>
      <c r="N83" s="27">
        <f t="shared" si="9"/>
        <v>0</v>
      </c>
      <c r="O83" s="27">
        <f t="shared" si="9"/>
        <v>0</v>
      </c>
      <c r="P83" s="27">
        <f t="shared" si="9"/>
        <v>206433612.15000001</v>
      </c>
    </row>
    <row r="84" spans="1:16" ht="8.25" customHeight="1" x14ac:dyDescent="0.25">
      <c r="A84" s="37" t="s">
        <v>110</v>
      </c>
      <c r="B84" s="38"/>
    </row>
    <row r="85" spans="1:16" ht="3" customHeight="1" thickBot="1" x14ac:dyDescent="0.3"/>
    <row r="86" spans="1:16" ht="30.75" thickBot="1" x14ac:dyDescent="0.3">
      <c r="A86" s="20" t="s">
        <v>95</v>
      </c>
      <c r="B86" s="40"/>
    </row>
    <row r="87" spans="1:16" ht="30.75" thickBot="1" x14ac:dyDescent="0.3">
      <c r="A87" s="20" t="s">
        <v>96</v>
      </c>
    </row>
    <row r="88" spans="1:16" ht="75.75" thickBot="1" x14ac:dyDescent="0.3">
      <c r="A88" s="21" t="s">
        <v>97</v>
      </c>
    </row>
    <row r="89" spans="1:16" s="43" customFormat="1" ht="10.5" customHeight="1" x14ac:dyDescent="0.25">
      <c r="A89" s="44"/>
      <c r="B89" s="44" t="s">
        <v>101</v>
      </c>
      <c r="F89" s="44" t="s">
        <v>102</v>
      </c>
      <c r="H89" s="42"/>
      <c r="J89" s="45"/>
    </row>
    <row r="90" spans="1:16" ht="32.25" customHeight="1" x14ac:dyDescent="0.3">
      <c r="A90" s="33"/>
      <c r="B90" s="33" t="s">
        <v>103</v>
      </c>
      <c r="C90" s="31"/>
      <c r="D90" s="29"/>
      <c r="E90" s="29"/>
      <c r="F90" s="33" t="s">
        <v>103</v>
      </c>
      <c r="H90" s="33"/>
      <c r="I90" s="29"/>
      <c r="J90" s="29"/>
      <c r="K90" s="29"/>
    </row>
    <row r="91" spans="1:16" s="43" customFormat="1" ht="15.75" x14ac:dyDescent="0.25">
      <c r="A91" s="42"/>
      <c r="B91" s="42" t="s">
        <v>104</v>
      </c>
      <c r="C91" s="42"/>
      <c r="F91" s="42" t="s">
        <v>105</v>
      </c>
      <c r="G91" s="55" t="s">
        <v>111</v>
      </c>
      <c r="H91" s="55"/>
      <c r="I91" s="55"/>
      <c r="J91" s="55"/>
    </row>
    <row r="92" spans="1:16" x14ac:dyDescent="0.25">
      <c r="A92" s="41"/>
      <c r="B92" s="41" t="s">
        <v>118</v>
      </c>
      <c r="C92" s="41"/>
      <c r="F92" s="41" t="s">
        <v>117</v>
      </c>
      <c r="H92" s="41"/>
    </row>
    <row r="93" spans="1:16" ht="18.75" x14ac:dyDescent="0.3">
      <c r="D93" s="29"/>
      <c r="E93" s="29"/>
      <c r="F93" s="29"/>
      <c r="H93" s="29"/>
      <c r="I93" s="29"/>
      <c r="J93" s="29"/>
      <c r="K93" s="29"/>
    </row>
    <row r="94" spans="1:16" ht="18.75" x14ac:dyDescent="0.25">
      <c r="B94" s="31"/>
    </row>
  </sheetData>
  <mergeCells count="10">
    <mergeCell ref="G91:J91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74" zoomScaleNormal="100" workbookViewId="0">
      <selection activeCell="N84" sqref="N8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73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5" ht="21" customHeight="1" x14ac:dyDescent="0.25">
      <c r="A3" s="71" t="s">
        <v>100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5.75" x14ac:dyDescent="0.25">
      <c r="A4" s="67">
        <v>2026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5" ht="15.75" customHeight="1" x14ac:dyDescent="0.25">
      <c r="A5" s="69" t="s">
        <v>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5" ht="15.75" customHeight="1" x14ac:dyDescent="0.25">
      <c r="A6" s="56" t="s">
        <v>77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16753187.51</v>
      </c>
      <c r="G10" s="25">
        <f t="shared" si="0"/>
        <v>17567383.010000002</v>
      </c>
      <c r="H10" s="25">
        <f t="shared" si="0"/>
        <v>16883280.48</v>
      </c>
      <c r="I10" s="25">
        <f>I11+I12+I15</f>
        <v>16708157.76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148198578.34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f>13491624.36+160000+85000+608000</f>
        <v>14344624.359999999</v>
      </c>
      <c r="G11" s="24">
        <v>14957073.630000001</v>
      </c>
      <c r="H11" s="24">
        <v>14392374.359999999</v>
      </c>
      <c r="I11" s="24">
        <v>14221142.24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128868438.88999999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475500</v>
      </c>
      <c r="H12" s="24">
        <v>393143</v>
      </c>
      <c r="I12" s="24">
        <v>415857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2952000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v>2075063.15</v>
      </c>
      <c r="G15" s="24">
        <v>2134809.38</v>
      </c>
      <c r="H15" s="24">
        <v>2097763.12</v>
      </c>
      <c r="I15" s="24">
        <v>2071158.52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16378139.449999999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5408974.8200000003</v>
      </c>
      <c r="G16" s="25">
        <f>G17+G18+G19+G20+G21+G22+G23+G24+G25</f>
        <v>11222477.609999999</v>
      </c>
      <c r="H16" s="25">
        <f t="shared" si="1"/>
        <v>7108510.9700000007</v>
      </c>
      <c r="I16" s="25">
        <f t="shared" si="1"/>
        <v>5259917.5299999993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51312482.089999996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f>425416.47+164525.46+814484.77+454496.9+3094+2500</f>
        <v>1864517.6</v>
      </c>
      <c r="G17" s="24">
        <v>2192056.7200000002</v>
      </c>
      <c r="H17" s="24">
        <v>2170793.0099999998</v>
      </c>
      <c r="I17" s="24">
        <v>2255051.7999999998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18451824.439999998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14348.8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14348.8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178047.5</v>
      </c>
      <c r="G19" s="24">
        <v>214919.9</v>
      </c>
      <c r="H19" s="24">
        <v>157933.34</v>
      </c>
      <c r="I19" s="24">
        <v>39845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4491363.24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f>81184+23000</f>
        <v>104184</v>
      </c>
      <c r="G21" s="24">
        <v>7728143.3899999997</v>
      </c>
      <c r="H21" s="24">
        <v>2654254.15</v>
      </c>
      <c r="I21" s="24">
        <v>865574.42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12699809.68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1392878.65</v>
      </c>
      <c r="G22" s="24">
        <v>684422.25</v>
      </c>
      <c r="H22" s="24">
        <v>1104982.1499999999</v>
      </c>
      <c r="I22" s="24">
        <v>1472679.09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8892891.3599999994</v>
      </c>
    </row>
    <row r="23" spans="1:14" ht="27" customHeight="1" x14ac:dyDescent="0.25">
      <c r="A23" s="28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f>603254.73+931282.17+41300</f>
        <v>1575836.9</v>
      </c>
      <c r="G23" s="24">
        <v>41300</v>
      </c>
      <c r="H23" s="24">
        <v>565391.66</v>
      </c>
      <c r="I23" s="24">
        <v>41300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2490339.42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f>58969.5+16000+50000</f>
        <v>124969.5</v>
      </c>
      <c r="G24" s="24">
        <v>57064</v>
      </c>
      <c r="H24" s="24">
        <v>221921.05</v>
      </c>
      <c r="I24" s="24">
        <v>80192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1985506.47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168540.67</v>
      </c>
      <c r="G25" s="24">
        <v>304571.34999999998</v>
      </c>
      <c r="H25" s="24">
        <v>233235.61</v>
      </c>
      <c r="I25" s="24">
        <v>490926.42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2286398.6799999997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548610</v>
      </c>
      <c r="G26" s="25">
        <f t="shared" si="4"/>
        <v>829057.72</v>
      </c>
      <c r="H26" s="25">
        <f t="shared" si="4"/>
        <v>1216106.6299999999</v>
      </c>
      <c r="I26" s="25">
        <f t="shared" si="4"/>
        <v>1319986.5300000003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6336855.3600000003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9360</v>
      </c>
      <c r="G27" s="24">
        <v>38259</v>
      </c>
      <c r="H27" s="24">
        <v>9000</v>
      </c>
      <c r="I27" s="24">
        <v>33753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383591.51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21387.5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21387.5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90010.4</v>
      </c>
      <c r="H29" s="24">
        <v>26850.02</v>
      </c>
      <c r="I29" s="24">
        <v>12150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158416.01999999999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184632.71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184632.71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1815.99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11360.76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524500</v>
      </c>
      <c r="G33" s="24">
        <v>535500</v>
      </c>
      <c r="H33" s="24">
        <v>550000</v>
      </c>
      <c r="I33" s="24">
        <v>1030416.68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4630491.29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14750</v>
      </c>
      <c r="G35" s="24">
        <v>165288.32000000001</v>
      </c>
      <c r="H35" s="24">
        <v>424236.4</v>
      </c>
      <c r="I35" s="24">
        <v>241850.86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946975.57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20000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40000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20000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40000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F54+F53+F58</f>
        <v>50032</v>
      </c>
      <c r="G52" s="25">
        <f>G54+G53+G56+G57</f>
        <v>0</v>
      </c>
      <c r="H52" s="25">
        <f>H53+H57</f>
        <v>494157.59</v>
      </c>
      <c r="I52" s="25">
        <f>I53+I57</f>
        <v>4163.04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627051.55000000005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494157.59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494157.59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4163.04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82861.959999999992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50032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50032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22760804.329999998</v>
      </c>
      <c r="G83" s="26">
        <f>G52+G16+G10+G26</f>
        <v>29618918.34</v>
      </c>
      <c r="H83" s="26">
        <f>H52+H16+H10+H26+H36</f>
        <v>25722055.669999998</v>
      </c>
      <c r="I83" s="26">
        <f>I52+I26+I16+I10</f>
        <v>23292224.859999999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206514967.34</v>
      </c>
    </row>
    <row r="84" spans="1:14" x14ac:dyDescent="0.25">
      <c r="A84" s="37" t="s">
        <v>110</v>
      </c>
    </row>
    <row r="85" spans="1:14" x14ac:dyDescent="0.25">
      <c r="A85" s="36"/>
    </row>
    <row r="86" spans="1:14" ht="18.75" x14ac:dyDescent="0.3">
      <c r="A86" s="30" t="s">
        <v>101</v>
      </c>
      <c r="B86" s="29"/>
      <c r="C86" s="29"/>
      <c r="D86" s="29"/>
      <c r="E86" s="30" t="s">
        <v>102</v>
      </c>
      <c r="G86" s="31"/>
      <c r="I86" s="32"/>
      <c r="J86" s="29"/>
    </row>
    <row r="87" spans="1:14" ht="47.25" customHeight="1" x14ac:dyDescent="0.3">
      <c r="A87" s="33" t="s">
        <v>103</v>
      </c>
      <c r="B87" s="31"/>
      <c r="C87" s="29"/>
      <c r="D87" s="29"/>
      <c r="E87" s="33" t="s">
        <v>103</v>
      </c>
      <c r="G87" s="33"/>
      <c r="H87" s="29"/>
      <c r="I87" s="29"/>
      <c r="J87" s="29"/>
    </row>
    <row r="88" spans="1:14" ht="18.75" x14ac:dyDescent="0.3">
      <c r="A88" s="31" t="s">
        <v>104</v>
      </c>
      <c r="B88" s="31"/>
      <c r="C88" s="29"/>
      <c r="D88" s="29"/>
      <c r="E88" s="31" t="s">
        <v>107</v>
      </c>
      <c r="F88" s="35"/>
      <c r="G88" s="39" t="s">
        <v>111</v>
      </c>
      <c r="H88" s="35"/>
      <c r="I88" s="35"/>
      <c r="J88" s="29"/>
    </row>
    <row r="89" spans="1:14" ht="18.75" x14ac:dyDescent="0.3">
      <c r="A89" s="31" t="s">
        <v>106</v>
      </c>
      <c r="B89" s="31"/>
      <c r="C89" s="29"/>
      <c r="D89" s="29"/>
      <c r="E89" s="31" t="s">
        <v>108</v>
      </c>
      <c r="G89" s="31"/>
      <c r="H89" s="29"/>
      <c r="I89" s="29"/>
      <c r="J89" s="29"/>
    </row>
    <row r="90" spans="1:14" ht="18.75" x14ac:dyDescent="0.3">
      <c r="C90" s="29"/>
      <c r="D90" s="29"/>
      <c r="E90" s="29"/>
      <c r="G90" s="29"/>
      <c r="H90" s="29"/>
      <c r="I90" s="29"/>
      <c r="J90" s="29"/>
    </row>
    <row r="91" spans="1:14" ht="18.75" x14ac:dyDescent="0.25">
      <c r="A91" s="31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2026-09-04T17:17:12Z</cp:lastPrinted>
  <dcterms:created xsi:type="dcterms:W3CDTF">2021-07-29T18:58:50Z</dcterms:created>
  <dcterms:modified xsi:type="dcterms:W3CDTF">2026-09-04T17:17:19Z</dcterms:modified>
</cp:coreProperties>
</file>