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3395C69-AEAE-447A-97EA-3059CDD3E1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4" i="1" l="1"/>
  <c r="H83" i="3"/>
  <c r="J37" i="2"/>
  <c r="J23" i="2"/>
  <c r="J26" i="2"/>
  <c r="J25" i="2"/>
  <c r="J24" i="2"/>
  <c r="J19" i="2"/>
  <c r="J13" i="2"/>
  <c r="J17" i="2"/>
  <c r="I37" i="2"/>
  <c r="I27" i="2"/>
  <c r="I26" i="2"/>
  <c r="I23" i="2"/>
  <c r="I21" i="2"/>
  <c r="I19" i="2"/>
  <c r="I13" i="2"/>
  <c r="I17" i="2"/>
  <c r="H54" i="2"/>
  <c r="F52" i="3"/>
  <c r="F24" i="3"/>
  <c r="F23" i="3"/>
  <c r="F21" i="3"/>
  <c r="F17" i="3"/>
  <c r="F11" i="3"/>
  <c r="G26" i="2"/>
  <c r="G23" i="2"/>
  <c r="G19" i="2"/>
  <c r="G37" i="2"/>
  <c r="G35" i="2"/>
  <c r="G31" i="2"/>
  <c r="G27" i="2"/>
  <c r="G24" i="2"/>
  <c r="G13" i="2"/>
  <c r="G17" i="2"/>
  <c r="D52" i="3" l="1"/>
  <c r="F37" i="2"/>
  <c r="F35" i="2"/>
  <c r="F34" i="2"/>
  <c r="F26" i="2"/>
  <c r="F25" i="2"/>
  <c r="F19" i="2"/>
  <c r="C54" i="2"/>
  <c r="F13" i="2"/>
  <c r="F17" i="2"/>
  <c r="D26" i="2"/>
  <c r="E26" i="2"/>
  <c r="E25" i="2"/>
  <c r="E19" i="2"/>
  <c r="E18" i="2" s="1"/>
  <c r="E17" i="2"/>
  <c r="D19" i="2" l="1"/>
  <c r="D13" i="2"/>
  <c r="D17" i="2"/>
  <c r="L52" i="3"/>
  <c r="M18" i="2"/>
  <c r="I52" i="3"/>
  <c r="H18" i="2" l="1"/>
  <c r="E16" i="3"/>
  <c r="E83" i="3" s="1"/>
  <c r="P62" i="2" l="1"/>
  <c r="F54" i="2"/>
  <c r="E52" i="3"/>
  <c r="D26" i="3"/>
  <c r="C26" i="3"/>
  <c r="L16" i="3" l="1"/>
  <c r="N55" i="3"/>
  <c r="N61" i="3"/>
  <c r="N60" i="3"/>
  <c r="N59" i="3"/>
  <c r="N58" i="3"/>
  <c r="N54" i="2"/>
  <c r="N18" i="2"/>
  <c r="J52" i="3"/>
  <c r="J26" i="3"/>
  <c r="J16" i="3"/>
  <c r="L54" i="2"/>
  <c r="L18" i="2"/>
  <c r="G16" i="3"/>
  <c r="G52" i="3"/>
  <c r="I18" i="2"/>
  <c r="G26" i="3" l="1"/>
  <c r="F26" i="3"/>
  <c r="F16" i="3"/>
  <c r="P39" i="2"/>
  <c r="E26" i="3"/>
  <c r="G18" i="2" l="1"/>
  <c r="E18" i="1" l="1"/>
  <c r="F18" i="2"/>
  <c r="N37" i="3" l="1"/>
  <c r="D16" i="3"/>
  <c r="B16" i="3" l="1"/>
  <c r="B83" i="3" s="1"/>
  <c r="B12" i="2"/>
  <c r="D18" i="2"/>
  <c r="C16" i="3"/>
  <c r="D28" i="1"/>
  <c r="D12" i="1"/>
  <c r="M16" i="3"/>
  <c r="M26" i="3"/>
  <c r="M52" i="3"/>
  <c r="O18" i="2"/>
  <c r="K26" i="3"/>
  <c r="P36" i="2"/>
  <c r="P59" i="2"/>
  <c r="P58" i="2"/>
  <c r="P57" i="2"/>
  <c r="H16" i="3" l="1"/>
  <c r="H52" i="3"/>
  <c r="H26" i="3"/>
  <c r="J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8" i="2"/>
  <c r="D18" i="1" l="1"/>
  <c r="M10" i="3"/>
  <c r="O54" i="2"/>
  <c r="C38" i="2"/>
  <c r="C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G10" i="3"/>
  <c r="G83" i="3" s="1"/>
  <c r="F10" i="3"/>
  <c r="F83" i="3" s="1"/>
  <c r="E10" i="3"/>
  <c r="D10" i="3"/>
  <c r="D83" i="3" s="1"/>
  <c r="C10" i="3"/>
  <c r="B10" i="3"/>
  <c r="N11" i="3"/>
  <c r="P56" i="2"/>
  <c r="P55" i="2"/>
  <c r="M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I28" i="2"/>
  <c r="H28" i="2"/>
  <c r="G28" i="2"/>
  <c r="F28" i="2"/>
  <c r="E28" i="2"/>
  <c r="D28" i="2"/>
  <c r="O12" i="2"/>
  <c r="N12" i="2"/>
  <c r="M12" i="2"/>
  <c r="L12" i="2"/>
  <c r="K12" i="2"/>
  <c r="J12" i="2"/>
  <c r="I12" i="2"/>
  <c r="H12" i="2"/>
  <c r="G12" i="2"/>
  <c r="F12" i="2"/>
  <c r="E12" i="2"/>
  <c r="D12" i="2"/>
  <c r="B54" i="2"/>
  <c r="B38" i="2"/>
  <c r="C28" i="2"/>
  <c r="B28" i="2"/>
  <c r="C12" i="2"/>
  <c r="G85" i="2" l="1"/>
  <c r="C85" i="2"/>
  <c r="P12" i="2"/>
  <c r="K83" i="3"/>
  <c r="C83" i="3"/>
  <c r="M83" i="3"/>
  <c r="L83" i="3"/>
  <c r="B85" i="2"/>
  <c r="P54" i="2"/>
  <c r="I83" i="3"/>
  <c r="N26" i="3"/>
  <c r="N10" i="3"/>
  <c r="N16" i="3"/>
  <c r="N52" i="3"/>
  <c r="P28" i="2"/>
  <c r="F85" i="2"/>
  <c r="P18" i="2"/>
  <c r="O85" i="2"/>
  <c r="I85" i="2"/>
  <c r="M85" i="2"/>
  <c r="N85" i="2"/>
  <c r="H85" i="2"/>
  <c r="L85" i="2"/>
  <c r="K85" i="2"/>
  <c r="J85" i="2"/>
  <c r="E85" i="2"/>
  <c r="D85" i="2"/>
  <c r="D54" i="1"/>
  <c r="E38" i="1"/>
  <c r="D38" i="1"/>
  <c r="E28" i="1"/>
  <c r="E12" i="1"/>
  <c r="E85" i="1" l="1"/>
  <c r="N83" i="3"/>
  <c r="D85" i="1"/>
  <c r="P85" i="2"/>
</calcChain>
</file>

<file path=xl/sharedStrings.xml><?xml version="1.0" encoding="utf-8"?>
<sst xmlns="http://schemas.openxmlformats.org/spreadsheetml/2006/main" count="297" uniqueCount="117">
  <si>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</si>
  <si>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</si>
  <si>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</si>
  <si>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</si>
  <si>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</si>
  <si>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</si>
  <si>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</si>
  <si>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</si>
  <si>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</si>
  <si>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</si>
  <si>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</si>
  <si>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</si>
  <si>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</si>
  <si>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</si>
  <si>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</si>
  <si>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</si>
  <si>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</si>
  <si>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</si>
  <si>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</si>
  <si>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</si>
  <si>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</si>
  <si>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</si>
  <si>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</si>
  <si>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</si>
  <si>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</si>
  <si>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</si>
  <si>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</si>
  <si>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</si>
  <si>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</si>
  <si>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</si>
  <si>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</si>
  <si>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</si>
  <si>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</si>
  <si>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</si>
  <si>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</si>
  <si>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</si>
  <si>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</si>
  <si>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</si>
  <si>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</si>
  <si>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</si>
  <si>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</si>
  <si>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</si>
  <si>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</si>
  <si>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</si>
  <si>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</si>
  <si>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</si>
  <si>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</si>
  <si>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</si>
  <si>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</si>
  <si>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</si>
  <si>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</si>
  <si>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</si>
  <si>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</si>
  <si>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</si>
  <si>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</si>
  <si>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</si>
  <si>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</si>
  <si>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</si>
  <si>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</si>
  <si>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</si>
  <si>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</si>
  <si>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</si>
  <si>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</si>
  <si>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</si>
  <si>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</si>
  <si>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</si>
  <si>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</si>
  <si>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</si>
  <si>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</si>
  <si>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</si>
  <si>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</si>
  <si>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</si>
  <si>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</si>
  <si>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</si>
  <si>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</si>
  <si>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</si>
  <si>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</si>
  <si>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</si>
  <si>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</si>
  <si>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</si>
  <si>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</si>
  <si>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</si>
  <si>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</si>
  <si>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</si>
  <si>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</si>
  <si>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</si>
  <si>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</si>
  <si>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</si>
  <si>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</si>
  <si>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</si>
  <si>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</si>
  <si>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</si>
  <si>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</si>
  <si>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</si>
  <si>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</si>
  <si>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</si>
  <si>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</si>
  <si>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</si>
  <si>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</si>
  <si>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</si>
  <si>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</si>
  <si>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</si>
  <si>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</si>
  <si>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</si>
  <si>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</si>
  <si>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</si>
  <si>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</si>
  <si>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</si>
  <si>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</si>
  <si>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</si>
  <si>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</si>
  <si>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</si>
  <si>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</si>
  <si>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</si>
  <si>
    <t>Dici</t>
  </si>
  <si>
    <t>Nov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</si>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</sst>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b/>
      <sz val="11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542926</xdr:colOff>
      <xdr:row>1</xdr:row>
      <xdr:rowOff>133350</xdr:rowOff>
    </xdr:from>
    <xdr:to>
      <xdr:col>15</xdr:col>
      <xdr:colOff>609601</xdr:colOff>
      <xdr:row>6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5354301" y="323850"/>
          <a:ext cx="1809750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628651</xdr:colOff>
      <xdr:row>1</xdr:row>
      <xdr:rowOff>76200</xdr:rowOff>
    </xdr:from>
    <xdr:to>
      <xdr:col>15</xdr:col>
      <xdr:colOff>487837</xdr:colOff>
      <xdr:row>5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0026" y="2667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B67" workbookViewId="0">
      <selection activeCell="J81" sqref="J8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6" t="s">
        <v>110</v>
      </c>
      <c r="D3" s="56"/>
      <c r="E3" s="56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6" t="s">
        <v>98</v>
      </c>
      <c r="D4" s="56"/>
      <c r="E4" s="5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3">
        <v>2026</v>
      </c>
      <c r="D5" s="54"/>
      <c r="E5" s="5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5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5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0" t="s">
        <v>66</v>
      </c>
      <c r="D9" s="51" t="s">
        <v>94</v>
      </c>
      <c r="E9" s="51" t="s">
        <v>93</v>
      </c>
      <c r="F9" s="8"/>
    </row>
    <row r="10" spans="2:16" ht="23.25" customHeight="1" x14ac:dyDescent="0.25">
      <c r="C10" s="50"/>
      <c r="D10" s="52"/>
      <c r="E10" s="5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175923207</v>
      </c>
      <c r="E13" s="6">
        <v>175355207</v>
      </c>
      <c r="F13" s="8"/>
    </row>
    <row r="14" spans="2:16" x14ac:dyDescent="0.25">
      <c r="C14" s="5" t="s">
        <v>3</v>
      </c>
      <c r="D14" s="6">
        <v>32210262</v>
      </c>
      <c r="E14" s="6">
        <v>32778262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87644383.409999996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44500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22631281.059999999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3682220</v>
      </c>
    </row>
    <row r="26" spans="3:6" x14ac:dyDescent="0.25">
      <c r="C26" s="5" t="s">
        <v>15</v>
      </c>
      <c r="D26" s="6">
        <v>8218589</v>
      </c>
      <c r="E26" s="6">
        <v>9152701.2599999998</v>
      </c>
    </row>
    <row r="27" spans="3:6" x14ac:dyDescent="0.25">
      <c r="C27" s="5" t="s">
        <v>16</v>
      </c>
      <c r="D27" s="6">
        <v>4198000</v>
      </c>
      <c r="E27" s="6">
        <v>4049525.82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11705431</v>
      </c>
    </row>
    <row r="29" spans="3:6" x14ac:dyDescent="0.25">
      <c r="C29" s="5" t="s">
        <v>18</v>
      </c>
      <c r="D29" s="6">
        <v>460000</v>
      </c>
      <c r="E29" s="6">
        <v>512000</v>
      </c>
    </row>
    <row r="30" spans="3:6" x14ac:dyDescent="0.25">
      <c r="C30" s="5" t="s">
        <v>19</v>
      </c>
      <c r="D30" s="6">
        <v>70000</v>
      </c>
      <c r="E30" s="6">
        <v>29000</v>
      </c>
    </row>
    <row r="31" spans="3:6" x14ac:dyDescent="0.25">
      <c r="C31" s="5" t="s">
        <v>20</v>
      </c>
      <c r="D31" s="6">
        <v>300000</v>
      </c>
      <c r="E31" s="6">
        <v>190157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208907</v>
      </c>
    </row>
    <row r="34" spans="3:5" x14ac:dyDescent="0.25">
      <c r="C34" s="5" t="s">
        <v>23</v>
      </c>
      <c r="D34" s="6">
        <v>200000</v>
      </c>
      <c r="E34" s="6">
        <v>58000</v>
      </c>
    </row>
    <row r="35" spans="3:5" x14ac:dyDescent="0.25">
      <c r="C35" s="5" t="s">
        <v>24</v>
      </c>
      <c r="D35" s="6">
        <v>9140000</v>
      </c>
      <c r="E35" s="6">
        <v>9340750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1366617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1066500</v>
      </c>
    </row>
    <row r="55" spans="3:5" x14ac:dyDescent="0.25">
      <c r="C55" s="5" t="s">
        <v>44</v>
      </c>
      <c r="D55" s="6">
        <v>550000</v>
      </c>
      <c r="E55" s="6">
        <v>613768</v>
      </c>
    </row>
    <row r="56" spans="3:5" x14ac:dyDescent="0.25">
      <c r="C56" s="5" t="s">
        <v>45</v>
      </c>
      <c r="D56" s="6"/>
      <c r="E56" s="6">
        <v>270000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132700</v>
      </c>
    </row>
    <row r="60" spans="3:5" x14ac:dyDescent="0.25">
      <c r="C60" s="5" t="s">
        <v>49</v>
      </c>
      <c r="D60" s="6"/>
      <c r="E60" s="6">
        <v>50032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113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333467414.40999997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5"/>
  <sheetViews>
    <sheetView showGridLines="0" tabSelected="1" workbookViewId="0">
      <selection activeCell="D19" sqref="D19"/>
    </sheetView>
  </sheetViews>
  <sheetFormatPr defaultColWidth="11.42578125" defaultRowHeight="15" x14ac:dyDescent="0.25"/>
  <cols>
    <col min="1" max="1" width="65.28515625" customWidth="1"/>
    <col min="2" max="2" width="16" customWidth="1"/>
    <col min="3" max="3" width="14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7.85546875" customWidth="1"/>
    <col min="12" max="12" width="7.140625" customWidth="1"/>
    <col min="13" max="13" width="9.5703125" customWidth="1"/>
    <col min="14" max="14" width="7.7109375" customWidth="1"/>
    <col min="15" max="15" width="8.85546875" customWidth="1"/>
    <col min="16" max="16" width="15.5703125" customWidth="1"/>
  </cols>
  <sheetData>
    <row r="3" spans="1:17" ht="28.5" customHeight="1" x14ac:dyDescent="0.25">
      <c r="A3" s="46" t="s">
        <v>110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7" ht="21" customHeight="1" x14ac:dyDescent="0.25">
      <c r="A4" s="48" t="s">
        <v>99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7" ht="15.75" x14ac:dyDescent="0.25">
      <c r="A5" s="53">
        <v>2026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7" ht="15.75" customHeight="1" x14ac:dyDescent="0.25">
      <c r="A6" s="55" t="s">
        <v>92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2" t="s">
        <v>77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1:17" ht="25.5" customHeight="1" x14ac:dyDescent="0.25">
      <c r="A9" s="50" t="s">
        <v>66</v>
      </c>
      <c r="B9" s="51" t="s">
        <v>94</v>
      </c>
      <c r="C9" s="51" t="s">
        <v>93</v>
      </c>
      <c r="D9" s="43" t="s">
        <v>91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5"/>
    </row>
    <row r="10" spans="1:17" x14ac:dyDescent="0.25">
      <c r="A10" s="50"/>
      <c r="B10" s="52"/>
      <c r="C10" s="52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116</v>
      </c>
      <c r="M10" s="15" t="s">
        <v>88</v>
      </c>
      <c r="N10" s="15" t="s">
        <v>115</v>
      </c>
      <c r="O10" s="16" t="s">
        <v>114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233011100</v>
      </c>
      <c r="C12" s="25">
        <f>C13+C14+C17</f>
        <v>233011100</v>
      </c>
      <c r="D12" s="25">
        <f t="shared" ref="D12:O12" si="0">D13+D14+D17</f>
        <v>16468246.950000001</v>
      </c>
      <c r="E12" s="25">
        <f t="shared" si="0"/>
        <v>17894777.140000001</v>
      </c>
      <c r="F12" s="25">
        <f t="shared" si="0"/>
        <v>17140657.43</v>
      </c>
      <c r="G12" s="25">
        <f t="shared" si="0"/>
        <v>28782888.059999999</v>
      </c>
      <c r="H12" s="25">
        <f t="shared" si="0"/>
        <v>16753187.51</v>
      </c>
      <c r="I12" s="25">
        <f t="shared" si="0"/>
        <v>17567383.009999998</v>
      </c>
      <c r="J12" s="25">
        <f t="shared" si="0"/>
        <v>16883280.48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>SUM(D12:O12)</f>
        <v>131490420.58</v>
      </c>
    </row>
    <row r="13" spans="1:17" x14ac:dyDescent="0.25">
      <c r="A13" s="5" t="s">
        <v>2</v>
      </c>
      <c r="B13" s="24">
        <v>175923207</v>
      </c>
      <c r="C13" s="24">
        <v>175355207</v>
      </c>
      <c r="D13" s="24">
        <f>11749838.91+7500+2321824.5+283148.31</f>
        <v>14362311.720000001</v>
      </c>
      <c r="E13" s="24">
        <v>15340960.15</v>
      </c>
      <c r="F13" s="24">
        <f>12922124.36+168000+120333.33+1260000+340101.52</f>
        <v>14810559.209999999</v>
      </c>
      <c r="G13" s="24">
        <f>12996124.36+160000+140000+13143268.86</f>
        <v>26439393.219999999</v>
      </c>
      <c r="H13" s="24">
        <v>14344624.359999999</v>
      </c>
      <c r="I13" s="24">
        <f>13366374.36+95000+674333.33+821365.94</f>
        <v>14957073.629999999</v>
      </c>
      <c r="J13" s="24">
        <f>13791374.36+95000+506000</f>
        <v>14392374.359999999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114647296.64999999</v>
      </c>
    </row>
    <row r="14" spans="1:17" x14ac:dyDescent="0.25">
      <c r="A14" s="5" t="s">
        <v>3</v>
      </c>
      <c r="B14" s="24">
        <v>32210262</v>
      </c>
      <c r="C14" s="24">
        <v>32778262</v>
      </c>
      <c r="D14" s="24">
        <v>333500</v>
      </c>
      <c r="E14" s="24">
        <v>333500</v>
      </c>
      <c r="F14" s="24">
        <v>333500</v>
      </c>
      <c r="G14" s="24">
        <v>333500</v>
      </c>
      <c r="H14" s="24">
        <v>333500</v>
      </c>
      <c r="I14" s="24">
        <v>475500</v>
      </c>
      <c r="J14" s="24">
        <v>393143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f>SUM(D14:O14)</f>
        <v>2536143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v>24877631</v>
      </c>
      <c r="C17" s="24">
        <v>24877631</v>
      </c>
      <c r="D17" s="24">
        <f>830174.3+834771.05+107489.88</f>
        <v>1772435.23</v>
      </c>
      <c r="E17" s="24">
        <f>1039218.29+1043010.65+138088.05</f>
        <v>2220316.9899999998</v>
      </c>
      <c r="F17" s="24">
        <f>934298.1+937942.49+124357.63</f>
        <v>1996598.2199999997</v>
      </c>
      <c r="G17" s="24">
        <f>940371.87+944024.82+125598.15</f>
        <v>2009994.8399999999</v>
      </c>
      <c r="H17" s="24">
        <v>2075063.15</v>
      </c>
      <c r="I17" s="24">
        <f>999898.33+1003635.24+131275.81</f>
        <v>2134809.38</v>
      </c>
      <c r="J17" s="24">
        <f>982220.6+985932.57+129609.95</f>
        <v>2097763.12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ref="P17:P27" si="1">SUM(D17:O17)</f>
        <v>14306980.93</v>
      </c>
    </row>
    <row r="18" spans="1:16" x14ac:dyDescent="0.25">
      <c r="A18" s="3" t="s">
        <v>7</v>
      </c>
      <c r="B18" s="25">
        <f t="shared" ref="B18:G18" si="2">B19+B20+B21+B22+B23+B24+B25+B26+B27</f>
        <v>83152099</v>
      </c>
      <c r="C18" s="25">
        <f t="shared" si="2"/>
        <v>87644383.409999996</v>
      </c>
      <c r="D18" s="25">
        <f t="shared" si="2"/>
        <v>4195312.53</v>
      </c>
      <c r="E18" s="25">
        <f>E19+E20+E21+E22+E23+E24+E25+E26+E27</f>
        <v>5136944.09</v>
      </c>
      <c r="F18" s="25">
        <f t="shared" si="2"/>
        <v>8706612.4900000002</v>
      </c>
      <c r="G18" s="25">
        <f t="shared" si="2"/>
        <v>4273732.05</v>
      </c>
      <c r="H18" s="25">
        <f t="shared" ref="H18:O18" si="3">H19+H20+H21+H22+H23+H24+H25+H26+H27</f>
        <v>5408974.8200000003</v>
      </c>
      <c r="I18" s="25">
        <f t="shared" si="3"/>
        <v>11222477.609999999</v>
      </c>
      <c r="J18" s="25">
        <f t="shared" si="3"/>
        <v>7108510.9700000007</v>
      </c>
      <c r="K18" s="25">
        <f t="shared" si="3"/>
        <v>0</v>
      </c>
      <c r="L18" s="25">
        <f t="shared" si="3"/>
        <v>0</v>
      </c>
      <c r="M18" s="25">
        <f t="shared" si="3"/>
        <v>0</v>
      </c>
      <c r="N18" s="25">
        <f t="shared" si="3"/>
        <v>0</v>
      </c>
      <c r="O18" s="25">
        <f t="shared" si="3"/>
        <v>0</v>
      </c>
      <c r="P18" s="25">
        <f t="shared" si="1"/>
        <v>46052564.560000002</v>
      </c>
    </row>
    <row r="19" spans="1:16" x14ac:dyDescent="0.25">
      <c r="A19" s="5" t="s">
        <v>8</v>
      </c>
      <c r="B19" s="24">
        <v>26752090</v>
      </c>
      <c r="C19" s="24">
        <v>26819657.5</v>
      </c>
      <c r="D19" s="24">
        <f>691768.57+394996.41+1670784.43+518358.91+3094+1600</f>
        <v>3280602.3200000003</v>
      </c>
      <c r="E19" s="24">
        <f>392341.28+207269.58+1075113.15+430030.45+900</f>
        <v>2105654.46</v>
      </c>
      <c r="F19" s="24">
        <f>604959.42+281054.54+1014771.82+478298.88+6188+5070</f>
        <v>2390342.6599999997</v>
      </c>
      <c r="G19" s="24">
        <f>529931.15+190610.74+950116.33+491934.35+3094+1900+25219.3</f>
        <v>2192805.8699999996</v>
      </c>
      <c r="H19" s="24">
        <v>1864517.6</v>
      </c>
      <c r="I19" s="24">
        <f>527282.61+230059.32+895577.66+533013.13+3094+3030</f>
        <v>2192056.7199999997</v>
      </c>
      <c r="J19" s="24">
        <f>492957.9+184377.23+894687.19+593176.69+3094+2500</f>
        <v>2170793.0099999998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16196772.639999999</v>
      </c>
    </row>
    <row r="20" spans="1:16" x14ac:dyDescent="0.25">
      <c r="A20" s="5" t="s">
        <v>9</v>
      </c>
      <c r="B20" s="24">
        <v>104500</v>
      </c>
      <c r="C20" s="24">
        <v>44500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10</v>
      </c>
      <c r="B21" s="24">
        <v>2036000</v>
      </c>
      <c r="C21" s="24">
        <v>5328277.7699999996</v>
      </c>
      <c r="D21" s="24">
        <v>23335</v>
      </c>
      <c r="E21" s="24">
        <v>1380385</v>
      </c>
      <c r="F21" s="24">
        <v>2238100</v>
      </c>
      <c r="G21" s="24">
        <v>258797.5</v>
      </c>
      <c r="H21" s="24">
        <v>178047.5</v>
      </c>
      <c r="I21" s="24">
        <f>192801.5+22118.4</f>
        <v>214919.9</v>
      </c>
      <c r="J21" s="24">
        <v>157933.34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4451518.24</v>
      </c>
    </row>
    <row r="22" spans="1:16" x14ac:dyDescent="0.25">
      <c r="A22" s="5" t="s">
        <v>11</v>
      </c>
      <c r="B22" s="24">
        <v>219000</v>
      </c>
      <c r="C22" s="24">
        <v>219000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0</v>
      </c>
    </row>
    <row r="23" spans="1:16" x14ac:dyDescent="0.25">
      <c r="A23" s="5" t="s">
        <v>12</v>
      </c>
      <c r="B23" s="24">
        <v>23260000</v>
      </c>
      <c r="C23" s="24">
        <v>22631281.059999999</v>
      </c>
      <c r="D23" s="24">
        <v>81184</v>
      </c>
      <c r="E23" s="24">
        <v>0</v>
      </c>
      <c r="F23" s="24">
        <v>1053902.8400000001</v>
      </c>
      <c r="G23" s="24">
        <f>97804.8+114762.08</f>
        <v>212566.88</v>
      </c>
      <c r="H23" s="24">
        <v>104184</v>
      </c>
      <c r="I23" s="24">
        <f>7646959.39+81184</f>
        <v>7728143.3899999997</v>
      </c>
      <c r="J23" s="24">
        <f>2573070.15+81184</f>
        <v>2654254.15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11834235.26</v>
      </c>
    </row>
    <row r="24" spans="1:16" x14ac:dyDescent="0.25">
      <c r="A24" s="5" t="s">
        <v>13</v>
      </c>
      <c r="B24" s="24">
        <v>15692720</v>
      </c>
      <c r="C24" s="24">
        <v>15717220</v>
      </c>
      <c r="D24" s="24">
        <v>660239.43999999994</v>
      </c>
      <c r="E24" s="24">
        <v>1366288.89</v>
      </c>
      <c r="F24" s="24">
        <v>953165.64</v>
      </c>
      <c r="G24" s="24">
        <f>646085.95+612149.3</f>
        <v>1258235.25</v>
      </c>
      <c r="H24" s="24">
        <v>1392878.65</v>
      </c>
      <c r="I24" s="24">
        <v>684422.25</v>
      </c>
      <c r="J24" s="24">
        <f>26869.94+1078112.21</f>
        <v>1104982.1499999999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7420212.2699999996</v>
      </c>
    </row>
    <row r="25" spans="1:16" ht="30" x14ac:dyDescent="0.25">
      <c r="A25" s="29" t="s">
        <v>14</v>
      </c>
      <c r="B25" s="24">
        <v>2671200</v>
      </c>
      <c r="C25" s="24">
        <v>3682220</v>
      </c>
      <c r="D25" s="24">
        <v>0</v>
      </c>
      <c r="E25" s="24">
        <f>41300+40493.66</f>
        <v>81793.66</v>
      </c>
      <c r="F25" s="24">
        <f>88736+70682</f>
        <v>159418</v>
      </c>
      <c r="G25" s="24">
        <v>25299.200000000001</v>
      </c>
      <c r="H25" s="24">
        <v>1575836.9</v>
      </c>
      <c r="I25" s="24">
        <v>41300</v>
      </c>
      <c r="J25" s="24">
        <f>500000+41300+24091.66</f>
        <v>565391.66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2449039.42</v>
      </c>
    </row>
    <row r="26" spans="1:16" x14ac:dyDescent="0.25">
      <c r="A26" s="5" t="s">
        <v>15</v>
      </c>
      <c r="B26" s="24">
        <v>8218589</v>
      </c>
      <c r="C26" s="24">
        <v>9152701.2599999998</v>
      </c>
      <c r="D26" s="24">
        <f>16000</f>
        <v>16000</v>
      </c>
      <c r="E26" s="24">
        <f>58970.5+16000+35400</f>
        <v>110370.5</v>
      </c>
      <c r="F26" s="24">
        <f>16000+1063230.3</f>
        <v>1079230.3</v>
      </c>
      <c r="G26" s="24">
        <f>22479+16000+233208.12+24072</f>
        <v>295759.12</v>
      </c>
      <c r="H26" s="24">
        <v>124969.5</v>
      </c>
      <c r="I26" s="24">
        <f>16000+41064</f>
        <v>57064</v>
      </c>
      <c r="J26" s="24">
        <f>11741+194180.05+16000</f>
        <v>221921.05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1905314.47</v>
      </c>
    </row>
    <row r="27" spans="1:16" x14ac:dyDescent="0.25">
      <c r="A27" s="5" t="s">
        <v>16</v>
      </c>
      <c r="B27" s="24">
        <v>4198000</v>
      </c>
      <c r="C27" s="24">
        <v>4049525.82</v>
      </c>
      <c r="D27" s="24">
        <v>133951.76999999999</v>
      </c>
      <c r="E27" s="24">
        <v>92451.58</v>
      </c>
      <c r="F27" s="24">
        <v>832453.05</v>
      </c>
      <c r="G27" s="24">
        <f>10000.5+20267.73</f>
        <v>30268.23</v>
      </c>
      <c r="H27" s="24">
        <v>168540.67</v>
      </c>
      <c r="I27" s="24">
        <f>224267.04+80304.31</f>
        <v>304571.34999999998</v>
      </c>
      <c r="J27" s="24">
        <v>233235.61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1"/>
        <v>1795472.2599999998</v>
      </c>
    </row>
    <row r="28" spans="1:16" x14ac:dyDescent="0.25">
      <c r="A28" s="3" t="s">
        <v>17</v>
      </c>
      <c r="B28" s="25">
        <f>B29+B30+B31+B32+B33+B34+B35+B37</f>
        <v>12083506</v>
      </c>
      <c r="C28" s="25">
        <f>C29+C30+C31+C32+C33+C34+C35+C37</f>
        <v>11712431</v>
      </c>
      <c r="D28" s="25">
        <f t="shared" ref="D28:P28" si="4">D29+D30+D31+D32+D33+D34+D35+D37</f>
        <v>452000</v>
      </c>
      <c r="E28" s="25">
        <f t="shared" si="4"/>
        <v>495390.28</v>
      </c>
      <c r="F28" s="25">
        <f t="shared" si="4"/>
        <v>683323.69000000006</v>
      </c>
      <c r="G28" s="25">
        <f t="shared" si="4"/>
        <v>792380.51</v>
      </c>
      <c r="H28" s="25">
        <f t="shared" si="4"/>
        <v>548610</v>
      </c>
      <c r="I28" s="25">
        <f t="shared" si="4"/>
        <v>829057.72</v>
      </c>
      <c r="J28" s="25">
        <f t="shared" si="4"/>
        <v>1216106.6299999999</v>
      </c>
      <c r="K28" s="25">
        <f t="shared" si="4"/>
        <v>0</v>
      </c>
      <c r="L28" s="25">
        <f t="shared" si="4"/>
        <v>0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5016868.83</v>
      </c>
    </row>
    <row r="29" spans="1:16" x14ac:dyDescent="0.25">
      <c r="A29" s="29" t="s">
        <v>18</v>
      </c>
      <c r="B29" s="24">
        <v>460000</v>
      </c>
      <c r="C29" s="24">
        <v>519000</v>
      </c>
      <c r="D29" s="24">
        <v>0</v>
      </c>
      <c r="E29" s="24">
        <v>29480</v>
      </c>
      <c r="F29" s="24">
        <v>15420</v>
      </c>
      <c r="G29" s="24">
        <v>248319.51</v>
      </c>
      <c r="H29" s="24">
        <v>9360</v>
      </c>
      <c r="I29" s="24">
        <v>38259</v>
      </c>
      <c r="J29" s="24">
        <v>9000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ref="P29:P36" si="5">SUM(D29:O29)</f>
        <v>349838.51</v>
      </c>
    </row>
    <row r="30" spans="1:16" x14ac:dyDescent="0.25">
      <c r="A30" s="29" t="s">
        <v>19</v>
      </c>
      <c r="B30" s="24">
        <v>70000</v>
      </c>
      <c r="C30" s="24">
        <v>29000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21387.5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21387.5</v>
      </c>
    </row>
    <row r="31" spans="1:16" x14ac:dyDescent="0.25">
      <c r="A31" s="29" t="s">
        <v>20</v>
      </c>
      <c r="B31" s="24">
        <v>300000</v>
      </c>
      <c r="C31" s="24">
        <v>190157</v>
      </c>
      <c r="D31" s="24">
        <v>0</v>
      </c>
      <c r="E31" s="24">
        <v>0</v>
      </c>
      <c r="F31" s="24">
        <v>17552.5</v>
      </c>
      <c r="G31" s="24">
        <f>6549+5304.1</f>
        <v>11853.1</v>
      </c>
      <c r="H31" s="24">
        <v>0</v>
      </c>
      <c r="I31" s="24">
        <v>90010.4</v>
      </c>
      <c r="J31" s="24">
        <v>26850.02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146266.01999999999</v>
      </c>
    </row>
    <row r="32" spans="1:16" x14ac:dyDescent="0.25">
      <c r="A32" s="29" t="s">
        <v>21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x14ac:dyDescent="0.25">
      <c r="A33" s="29" t="s">
        <v>22</v>
      </c>
      <c r="B33" s="24">
        <v>1200000</v>
      </c>
      <c r="C33" s="24">
        <v>208907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184632.71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184632.71</v>
      </c>
    </row>
    <row r="34" spans="1:16" x14ac:dyDescent="0.25">
      <c r="A34" s="29" t="s">
        <v>23</v>
      </c>
      <c r="B34" s="24">
        <v>200000</v>
      </c>
      <c r="C34" s="24">
        <v>58000</v>
      </c>
      <c r="D34" s="24">
        <v>0</v>
      </c>
      <c r="E34" s="24">
        <v>0</v>
      </c>
      <c r="F34" s="24">
        <f>5315.39+3639.38+590</f>
        <v>9544.77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9544.77</v>
      </c>
    </row>
    <row r="35" spans="1:16" ht="30" x14ac:dyDescent="0.25">
      <c r="A35" s="29" t="s">
        <v>24</v>
      </c>
      <c r="B35" s="24">
        <v>9140000</v>
      </c>
      <c r="C35" s="24">
        <v>9340750</v>
      </c>
      <c r="D35" s="24">
        <v>452000</v>
      </c>
      <c r="E35" s="24">
        <v>442000</v>
      </c>
      <c r="F35" s="24">
        <f>484000+99999.99+9318.46+1607.16</f>
        <v>594925.61</v>
      </c>
      <c r="G35" s="24">
        <f>500500+649</f>
        <v>501149</v>
      </c>
      <c r="H35" s="24">
        <v>524500</v>
      </c>
      <c r="I35" s="24">
        <v>535500</v>
      </c>
      <c r="J35" s="24">
        <v>550000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5"/>
        <v>3600074.61</v>
      </c>
    </row>
    <row r="36" spans="1:16" ht="30" x14ac:dyDescent="0.25">
      <c r="A36" s="29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5"/>
        <v>0</v>
      </c>
    </row>
    <row r="37" spans="1:16" x14ac:dyDescent="0.25">
      <c r="A37" s="29" t="s">
        <v>26</v>
      </c>
      <c r="B37" s="24">
        <v>713506</v>
      </c>
      <c r="C37" s="24">
        <v>1366617</v>
      </c>
      <c r="D37" s="24">
        <v>0</v>
      </c>
      <c r="E37" s="24">
        <v>23910.28</v>
      </c>
      <c r="F37" s="24">
        <f>8754.48+23883.2+365.8+12602.39+274.94</f>
        <v>45880.810000000005</v>
      </c>
      <c r="G37" s="24">
        <f>5752.5+955.8+24350.6</f>
        <v>31058.899999999998</v>
      </c>
      <c r="H37" s="24">
        <v>14750</v>
      </c>
      <c r="I37" s="24">
        <f>36839.4+5195.19+71862+4245.35+45922.18+1224.2</f>
        <v>165288.32000000001</v>
      </c>
      <c r="J37" s="24">
        <f>137997+201550.8+1380.6+83308</f>
        <v>424236.39999999997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705124.71</v>
      </c>
    </row>
    <row r="38" spans="1:16" x14ac:dyDescent="0.25">
      <c r="A38" s="3" t="s">
        <v>27</v>
      </c>
      <c r="B38" s="25">
        <f>B39</f>
        <v>40000</v>
      </c>
      <c r="C38" s="25">
        <f>C39</f>
        <v>40000</v>
      </c>
      <c r="D38" s="25">
        <f t="shared" ref="D38:P38" si="6">D39</f>
        <v>0</v>
      </c>
      <c r="E38" s="25">
        <f t="shared" si="6"/>
        <v>0</v>
      </c>
      <c r="F38" s="25">
        <f t="shared" si="6"/>
        <v>0</v>
      </c>
      <c r="G38" s="25">
        <f t="shared" si="6"/>
        <v>20000</v>
      </c>
      <c r="H38" s="25">
        <f t="shared" si="6"/>
        <v>0</v>
      </c>
      <c r="I38" s="25">
        <f t="shared" si="6"/>
        <v>0</v>
      </c>
      <c r="J38" s="25">
        <f t="shared" si="6"/>
        <v>20000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40000</v>
      </c>
    </row>
    <row r="39" spans="1:16" x14ac:dyDescent="0.25">
      <c r="A39" s="29" t="s">
        <v>28</v>
      </c>
      <c r="B39" s="24">
        <v>40000</v>
      </c>
      <c r="C39" s="24">
        <v>40000</v>
      </c>
      <c r="D39" s="24">
        <v>0</v>
      </c>
      <c r="E39" s="24">
        <v>0</v>
      </c>
      <c r="F39" s="24">
        <v>0</v>
      </c>
      <c r="G39" s="24">
        <v>20000</v>
      </c>
      <c r="H39" s="24">
        <v>0</v>
      </c>
      <c r="I39" s="24">
        <v>0</v>
      </c>
      <c r="J39" s="24">
        <v>20000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40000</v>
      </c>
    </row>
    <row r="40" spans="1:16" ht="30" x14ac:dyDescent="0.25">
      <c r="A40" s="29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29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29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x14ac:dyDescent="0.25">
      <c r="A48" s="29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29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ht="30" x14ac:dyDescent="0.25">
      <c r="A53" s="29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800000</v>
      </c>
      <c r="C54" s="25">
        <f>C55+C58+C59+C56+C62+C60</f>
        <v>1066500</v>
      </c>
      <c r="D54" s="25">
        <f>D55+D58+D59</f>
        <v>0</v>
      </c>
      <c r="E54" s="25">
        <f>E55+E58+E59</f>
        <v>0</v>
      </c>
      <c r="F54" s="25">
        <f>F55+F58+F59+F62</f>
        <v>78698.92</v>
      </c>
      <c r="G54" s="25">
        <f>G55+G58+G59</f>
        <v>0</v>
      </c>
      <c r="H54" s="25">
        <f>H56+H55+H60</f>
        <v>50032</v>
      </c>
      <c r="I54" s="25">
        <f t="shared" ref="I54:M54" si="7">I55+I58+I59</f>
        <v>0</v>
      </c>
      <c r="J54" s="25">
        <f t="shared" si="7"/>
        <v>494157.59</v>
      </c>
      <c r="K54" s="25">
        <f t="shared" si="7"/>
        <v>0</v>
      </c>
      <c r="L54" s="25">
        <f>L55+L58+L59+L56</f>
        <v>0</v>
      </c>
      <c r="M54" s="25">
        <f t="shared" si="7"/>
        <v>0</v>
      </c>
      <c r="N54" s="25">
        <f>N55+N58+N59+N56+N62</f>
        <v>0</v>
      </c>
      <c r="O54" s="25">
        <f>O55+O58+O59+O56</f>
        <v>0</v>
      </c>
      <c r="P54" s="25">
        <f>SUM(D54:O54)</f>
        <v>622888.51</v>
      </c>
    </row>
    <row r="55" spans="1:16" x14ac:dyDescent="0.25">
      <c r="A55" s="29" t="s">
        <v>44</v>
      </c>
      <c r="B55" s="24">
        <v>550000</v>
      </c>
      <c r="C55" s="24">
        <v>613768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494157.59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494157.59</v>
      </c>
    </row>
    <row r="56" spans="1:16" ht="30" x14ac:dyDescent="0.25">
      <c r="A56" s="29" t="s">
        <v>45</v>
      </c>
      <c r="B56" s="24">
        <v>0</v>
      </c>
      <c r="C56" s="24">
        <v>270000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>SUM(D56:O56)</f>
        <v>0</v>
      </c>
    </row>
    <row r="57" spans="1:16" x14ac:dyDescent="0.25">
      <c r="A57" s="29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8">SUM(D57:O57)</f>
        <v>0</v>
      </c>
    </row>
    <row r="58" spans="1:16" ht="30" x14ac:dyDescent="0.25">
      <c r="A58" s="29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0</v>
      </c>
    </row>
    <row r="59" spans="1:16" x14ac:dyDescent="0.25">
      <c r="A59" s="29" t="s">
        <v>48</v>
      </c>
      <c r="B59" s="24">
        <v>250000</v>
      </c>
      <c r="C59" s="24">
        <v>132700</v>
      </c>
      <c r="D59" s="24">
        <v>0</v>
      </c>
      <c r="E59" s="24">
        <v>0</v>
      </c>
      <c r="F59" s="24">
        <v>78698.92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f t="shared" si="8"/>
        <v>78698.92</v>
      </c>
    </row>
    <row r="60" spans="1:16" x14ac:dyDescent="0.25">
      <c r="A60" s="29" t="s">
        <v>49</v>
      </c>
      <c r="B60" s="24">
        <v>0</v>
      </c>
      <c r="C60" s="24">
        <v>50032</v>
      </c>
      <c r="D60" s="24">
        <v>0</v>
      </c>
      <c r="E60" s="24">
        <v>0</v>
      </c>
      <c r="F60" s="24">
        <v>0</v>
      </c>
      <c r="G60" s="24">
        <v>0</v>
      </c>
      <c r="H60" s="24">
        <v>50032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51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f>SUM(D62:O62)</f>
        <v>0</v>
      </c>
    </row>
    <row r="63" spans="1:16" ht="30" x14ac:dyDescent="0.25">
      <c r="A63" s="29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29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29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29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29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5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5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5">
      <c r="A73" s="29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29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ht="30" x14ac:dyDescent="0.25">
      <c r="A75" s="29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ht="20.25" customHeight="1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ht="20.25" customHeight="1" x14ac:dyDescent="0.25">
      <c r="A78" s="5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ht="20.25" customHeight="1" x14ac:dyDescent="0.25">
      <c r="A79" s="5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ht="20.25" customHeight="1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ht="20.25" customHeight="1" x14ac:dyDescent="0.25">
      <c r="A81" s="5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ht="20.25" customHeight="1" x14ac:dyDescent="0.25">
      <c r="A82" s="5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20.25" customHeight="1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ht="20.25" customHeight="1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5">
      <c r="A85" s="9" t="s">
        <v>65</v>
      </c>
      <c r="B85" s="28">
        <f>B54+B38+B28+B18+B12</f>
        <v>329086705</v>
      </c>
      <c r="C85" s="28">
        <f>C54+C38+C28+C18+C12</f>
        <v>333474414.40999997</v>
      </c>
      <c r="D85" s="28">
        <f t="shared" ref="D85:P85" si="9">D54+D38+D28+D18+D12</f>
        <v>21115559.48</v>
      </c>
      <c r="E85" s="28">
        <f t="shared" si="9"/>
        <v>23527111.510000002</v>
      </c>
      <c r="F85" s="28">
        <f t="shared" si="9"/>
        <v>26609292.530000001</v>
      </c>
      <c r="G85" s="28">
        <f>G54+G38+G28+G18+G12</f>
        <v>33869000.619999997</v>
      </c>
      <c r="H85" s="28">
        <f t="shared" si="9"/>
        <v>22760804.329999998</v>
      </c>
      <c r="I85" s="28">
        <f t="shared" si="9"/>
        <v>29618918.339999996</v>
      </c>
      <c r="J85" s="28">
        <f t="shared" si="9"/>
        <v>25722055.670000002</v>
      </c>
      <c r="K85" s="28">
        <f t="shared" si="9"/>
        <v>0</v>
      </c>
      <c r="L85" s="28">
        <f t="shared" si="9"/>
        <v>0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183222742.48000002</v>
      </c>
    </row>
    <row r="86" spans="1:16" ht="15.75" thickBot="1" x14ac:dyDescent="0.3"/>
    <row r="87" spans="1:16" ht="30.75" thickBot="1" x14ac:dyDescent="0.3">
      <c r="A87" s="20" t="s">
        <v>95</v>
      </c>
      <c r="B87" s="40"/>
    </row>
    <row r="88" spans="1:16" ht="30.75" thickBot="1" x14ac:dyDescent="0.3">
      <c r="A88" s="20" t="s">
        <v>96</v>
      </c>
    </row>
    <row r="89" spans="1:16" ht="60.75" thickBot="1" x14ac:dyDescent="0.3">
      <c r="A89" s="21" t="s">
        <v>97</v>
      </c>
    </row>
    <row r="90" spans="1:16" ht="18.75" x14ac:dyDescent="0.3">
      <c r="A90" s="31"/>
      <c r="B90" s="31" t="s">
        <v>101</v>
      </c>
      <c r="C90" s="30"/>
      <c r="D90" s="30"/>
      <c r="E90" s="30"/>
      <c r="F90" s="31" t="s">
        <v>102</v>
      </c>
      <c r="H90" s="32"/>
      <c r="J90" s="33"/>
      <c r="K90" s="30"/>
    </row>
    <row r="91" spans="1:16" ht="33.75" customHeight="1" x14ac:dyDescent="0.3">
      <c r="A91" s="34"/>
      <c r="B91" s="34" t="s">
        <v>103</v>
      </c>
      <c r="C91" s="32"/>
      <c r="D91" s="30"/>
      <c r="E91" s="30"/>
      <c r="F91" s="34" t="s">
        <v>103</v>
      </c>
      <c r="H91" s="34"/>
      <c r="I91" s="30"/>
      <c r="J91" s="30"/>
      <c r="K91" s="30"/>
    </row>
    <row r="92" spans="1:16" ht="18.75" x14ac:dyDescent="0.3">
      <c r="A92" s="32"/>
      <c r="B92" s="32" t="s">
        <v>104</v>
      </c>
      <c r="C92" s="32"/>
      <c r="D92" s="30"/>
      <c r="E92" s="30"/>
      <c r="F92" s="32" t="s">
        <v>105</v>
      </c>
      <c r="G92" s="41" t="s">
        <v>112</v>
      </c>
      <c r="H92" s="41"/>
      <c r="I92" s="41"/>
      <c r="J92" s="41"/>
      <c r="K92" s="30"/>
    </row>
    <row r="93" spans="1:16" s="57" customFormat="1" ht="12.75" customHeight="1" x14ac:dyDescent="0.3">
      <c r="A93" s="31"/>
      <c r="B93" s="31" t="s">
        <v>106</v>
      </c>
      <c r="C93" s="31"/>
      <c r="D93" s="30"/>
      <c r="E93" s="30"/>
      <c r="F93" s="31" t="s">
        <v>107</v>
      </c>
      <c r="H93" s="31"/>
      <c r="I93" s="30"/>
      <c r="J93" s="30"/>
      <c r="K93" s="30"/>
    </row>
    <row r="94" spans="1:16" ht="18.75" x14ac:dyDescent="0.3">
      <c r="D94" s="30"/>
      <c r="E94" s="30"/>
      <c r="F94" s="30"/>
      <c r="H94" s="30"/>
      <c r="I94" s="30"/>
      <c r="J94" s="30"/>
      <c r="K94" s="30"/>
    </row>
    <row r="95" spans="1:16" ht="18.75" x14ac:dyDescent="0.25">
      <c r="B95" s="32"/>
    </row>
  </sheetData>
  <mergeCells count="10">
    <mergeCell ref="G92:J92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11811023622047245" right="0.11811023622047245" top="0.19685039370078741" bottom="0.15748031496062992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58" zoomScaleNormal="100" workbookViewId="0">
      <selection activeCell="N83" sqref="N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6" t="s">
        <v>110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5" ht="21" customHeight="1" x14ac:dyDescent="0.25">
      <c r="A3" s="48" t="s">
        <v>100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5" ht="15.75" x14ac:dyDescent="0.25">
      <c r="A4" s="53">
        <v>2026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5" ht="15.75" customHeight="1" x14ac:dyDescent="0.25">
      <c r="A5" s="55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16753187.51</v>
      </c>
      <c r="G10" s="25">
        <f t="shared" si="0"/>
        <v>17567383.010000002</v>
      </c>
      <c r="H10" s="25">
        <f t="shared" si="0"/>
        <v>16883280.48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131490420.58000001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f>13491624.36+160000+85000+608000</f>
        <v>14344624.359999999</v>
      </c>
      <c r="G11" s="24">
        <v>14957073.630000001</v>
      </c>
      <c r="H11" s="24">
        <v>14392374.359999999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114647296.64999999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475500</v>
      </c>
      <c r="H12" s="24">
        <v>393143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2536143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v>2075063.15</v>
      </c>
      <c r="G15" s="24">
        <v>2134809.38</v>
      </c>
      <c r="H15" s="24">
        <v>2097763.12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14306980.93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5408974.8200000003</v>
      </c>
      <c r="G16" s="25">
        <f>G17+G18+G19+G20+G21+G22+G23+G24+G25</f>
        <v>11222477.609999999</v>
      </c>
      <c r="H16" s="25">
        <f t="shared" si="1"/>
        <v>7108510.9700000007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46052564.559999995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f>425416.47+164525.46+814484.77+454496.9+3094+2500</f>
        <v>1864517.6</v>
      </c>
      <c r="G17" s="24">
        <v>2192056.7200000002</v>
      </c>
      <c r="H17" s="24">
        <v>2170793.0099999998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16196772.639999999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178047.5</v>
      </c>
      <c r="G19" s="24">
        <v>214919.9</v>
      </c>
      <c r="H19" s="24">
        <v>157933.34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4451518.24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f>81184+23000</f>
        <v>104184</v>
      </c>
      <c r="G21" s="24">
        <v>7728143.3899999997</v>
      </c>
      <c r="H21" s="24">
        <v>2654254.15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11834235.26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1392878.65</v>
      </c>
      <c r="G22" s="24">
        <v>684422.25</v>
      </c>
      <c r="H22" s="24">
        <v>1104982.1499999999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7420212.2699999996</v>
      </c>
    </row>
    <row r="23" spans="1:14" ht="27" customHeight="1" x14ac:dyDescent="0.25">
      <c r="A23" s="29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f>603254.73+931282.17+41300</f>
        <v>1575836.9</v>
      </c>
      <c r="G23" s="24">
        <v>41300</v>
      </c>
      <c r="H23" s="24">
        <v>565391.66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2449039.42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f>58969.5+16000+50000</f>
        <v>124969.5</v>
      </c>
      <c r="G24" s="24">
        <v>57064</v>
      </c>
      <c r="H24" s="24">
        <v>221921.05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1905314.47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168540.67</v>
      </c>
      <c r="G25" s="24">
        <v>304571.34999999998</v>
      </c>
      <c r="H25" s="24">
        <v>233235.61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1795472.2599999998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548610</v>
      </c>
      <c r="G26" s="25">
        <f t="shared" si="4"/>
        <v>829057.72</v>
      </c>
      <c r="H26" s="25">
        <f t="shared" si="4"/>
        <v>1216106.6299999999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5016868.83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9360</v>
      </c>
      <c r="G27" s="24">
        <v>38259</v>
      </c>
      <c r="H27" s="24">
        <v>9000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349838.51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21387.5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21387.5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90010.4</v>
      </c>
      <c r="H29" s="24">
        <v>26850.02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146266.01999999999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184632.71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184632.71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9544.77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524500</v>
      </c>
      <c r="G33" s="24">
        <v>535500</v>
      </c>
      <c r="H33" s="24">
        <v>550000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3600074.61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14750</v>
      </c>
      <c r="G35" s="24">
        <v>165288.32000000001</v>
      </c>
      <c r="H35" s="24">
        <v>424236.4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705124.71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20000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40000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20000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40000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F54+F53+F58</f>
        <v>50032</v>
      </c>
      <c r="G52" s="25">
        <f>G54+G53+G56+G57</f>
        <v>0</v>
      </c>
      <c r="H52" s="25">
        <f>H53+H57</f>
        <v>494157.59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622888.51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494157.59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494157.59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78698.92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50032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50032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22760804.329999998</v>
      </c>
      <c r="G83" s="26">
        <f>G52+G16+G10+G26</f>
        <v>29618918.34</v>
      </c>
      <c r="H83" s="26">
        <f>H52+H16+H10+H26+H36</f>
        <v>25722055.669999998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183222742.48000002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39" t="s">
        <v>112</v>
      </c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2026-08-04T19:44:17Z</cp:lastPrinted>
  <dcterms:created xsi:type="dcterms:W3CDTF">2021-07-29T18:58:50Z</dcterms:created>
  <dcterms:modified xsi:type="dcterms:W3CDTF">2026-08-04T19:45:01Z</dcterms:modified>
</cp:coreProperties>
</file>