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8_{4FC83880-E0F1-4E2D-A78F-D0E19846E45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7" i="2" l="1"/>
  <c r="K27" i="2"/>
  <c r="K26" i="2"/>
  <c r="K23" i="2"/>
  <c r="K21" i="2"/>
  <c r="K19" i="2"/>
  <c r="K13" i="2"/>
  <c r="K17" i="2"/>
  <c r="J54" i="2"/>
  <c r="F52" i="3"/>
  <c r="F24" i="3"/>
  <c r="F23" i="3"/>
  <c r="F21" i="3"/>
  <c r="F17" i="3"/>
  <c r="F11" i="3"/>
  <c r="I26" i="2"/>
  <c r="I23" i="2"/>
  <c r="I19" i="2"/>
  <c r="I37" i="2"/>
  <c r="I35" i="2"/>
  <c r="I31" i="2"/>
  <c r="I27" i="2"/>
  <c r="I24" i="2"/>
  <c r="I13" i="2"/>
  <c r="I17" i="2"/>
  <c r="D52" i="3" l="1"/>
  <c r="H37" i="2"/>
  <c r="H35" i="2"/>
  <c r="H34" i="2"/>
  <c r="H26" i="2"/>
  <c r="H25" i="2"/>
  <c r="H19" i="2"/>
  <c r="E54" i="2"/>
  <c r="H13" i="2"/>
  <c r="H17" i="2"/>
  <c r="E54" i="1"/>
  <c r="F26" i="2"/>
  <c r="G18" i="2"/>
  <c r="G26" i="2"/>
  <c r="G25" i="2"/>
  <c r="G19" i="2"/>
  <c r="G17" i="2"/>
  <c r="F19" i="2" l="1"/>
  <c r="F13" i="2"/>
  <c r="F17" i="2"/>
  <c r="L52" i="3"/>
  <c r="O18" i="2"/>
  <c r="I52" i="3"/>
  <c r="J18" i="2" l="1"/>
  <c r="E16" i="3"/>
  <c r="E83" i="3" s="1"/>
  <c r="R62" i="2" l="1"/>
  <c r="H54" i="2"/>
  <c r="E52" i="3"/>
  <c r="D26" i="3"/>
  <c r="C26" i="3"/>
  <c r="L16" i="3" l="1"/>
  <c r="N55" i="3"/>
  <c r="N61" i="3"/>
  <c r="N60" i="3"/>
  <c r="N59" i="3"/>
  <c r="N58" i="3"/>
  <c r="P54" i="2"/>
  <c r="P18" i="2"/>
  <c r="J52" i="3"/>
  <c r="J26" i="3"/>
  <c r="J16" i="3"/>
  <c r="N54" i="2"/>
  <c r="N18" i="2"/>
  <c r="G16" i="3"/>
  <c r="G52" i="3"/>
  <c r="K18" i="2"/>
  <c r="G26" i="3" l="1"/>
  <c r="F26" i="3"/>
  <c r="F16" i="3"/>
  <c r="R39" i="2"/>
  <c r="E26" i="3"/>
  <c r="I18" i="2" l="1"/>
  <c r="E18" i="1" l="1"/>
  <c r="H18" i="2"/>
  <c r="N37" i="3" l="1"/>
  <c r="D16" i="3"/>
  <c r="B16" i="3" l="1"/>
  <c r="B83" i="3" s="1"/>
  <c r="D12" i="2"/>
  <c r="F18" i="2"/>
  <c r="C16" i="3"/>
  <c r="D28" i="1"/>
  <c r="D12" i="1"/>
  <c r="M16" i="3"/>
  <c r="M26" i="3"/>
  <c r="M52" i="3"/>
  <c r="Q18" i="2"/>
  <c r="K26" i="3"/>
  <c r="R36" i="2"/>
  <c r="R59" i="2"/>
  <c r="R58" i="2"/>
  <c r="R57" i="2"/>
  <c r="H16" i="3" l="1"/>
  <c r="H52" i="3"/>
  <c r="H26" i="3"/>
  <c r="L18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K52" i="3"/>
  <c r="C52" i="3"/>
  <c r="B52" i="3"/>
  <c r="B26" i="3"/>
  <c r="D18" i="2"/>
  <c r="D18" i="1" l="1"/>
  <c r="M10" i="3"/>
  <c r="Q54" i="2"/>
  <c r="E38" i="2"/>
  <c r="E18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N53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D10" i="3"/>
  <c r="D83" i="3" s="1"/>
  <c r="C10" i="3"/>
  <c r="B10" i="3"/>
  <c r="N11" i="3"/>
  <c r="R56" i="2"/>
  <c r="R55" i="2"/>
  <c r="O54" i="2"/>
  <c r="M54" i="2"/>
  <c r="L54" i="2"/>
  <c r="K54" i="2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P28" i="2"/>
  <c r="O28" i="2"/>
  <c r="N28" i="2"/>
  <c r="M28" i="2"/>
  <c r="L28" i="2"/>
  <c r="K28" i="2"/>
  <c r="J28" i="2"/>
  <c r="I28" i="2"/>
  <c r="H28" i="2"/>
  <c r="G28" i="2"/>
  <c r="F28" i="2"/>
  <c r="Q12" i="2"/>
  <c r="P12" i="2"/>
  <c r="O12" i="2"/>
  <c r="N12" i="2"/>
  <c r="M12" i="2"/>
  <c r="L12" i="2"/>
  <c r="K12" i="2"/>
  <c r="J12" i="2"/>
  <c r="I12" i="2"/>
  <c r="H12" i="2"/>
  <c r="G12" i="2"/>
  <c r="F12" i="2"/>
  <c r="D54" i="2"/>
  <c r="D38" i="2"/>
  <c r="E28" i="2"/>
  <c r="D28" i="2"/>
  <c r="E12" i="2"/>
  <c r="I85" i="2" l="1"/>
  <c r="E85" i="2"/>
  <c r="R12" i="2"/>
  <c r="K83" i="3"/>
  <c r="C83" i="3"/>
  <c r="M83" i="3"/>
  <c r="L83" i="3"/>
  <c r="D85" i="2"/>
  <c r="R54" i="2"/>
  <c r="I83" i="3"/>
  <c r="N26" i="3"/>
  <c r="N10" i="3"/>
  <c r="N16" i="3"/>
  <c r="N52" i="3"/>
  <c r="R28" i="2"/>
  <c r="H85" i="2"/>
  <c r="R18" i="2"/>
  <c r="Q85" i="2"/>
  <c r="K85" i="2"/>
  <c r="O85" i="2"/>
  <c r="P85" i="2"/>
  <c r="J85" i="2"/>
  <c r="N85" i="2"/>
  <c r="M85" i="2"/>
  <c r="L85" i="2"/>
  <c r="G85" i="2"/>
  <c r="F85" i="2"/>
  <c r="D54" i="1"/>
  <c r="E38" i="1"/>
  <c r="D38" i="1"/>
  <c r="E28" i="1"/>
  <c r="E12" i="1"/>
  <c r="E85" i="1" l="1"/>
  <c r="N83" i="3"/>
  <c r="D85" i="1"/>
  <c r="R85" i="2"/>
</calcChain>
</file>

<file path=xl/sharedStrings.xml><?xml version="1.0" encoding="utf-8"?>
<sst xmlns="http://schemas.openxmlformats.org/spreadsheetml/2006/main" count="298" uniqueCount="114">
  <si>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</si>
  <si>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</si>
  <si>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</si>
  <si>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</si>
  <si>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</si>
  <si>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</si>
  <si>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</si>
  <si>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</si>
  <si>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</si>
  <si>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</si>
  <si>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</si>
  <si>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</si>
  <si>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</si>
  <si>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</si>
  <si>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</si>
  <si>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</si>
  <si>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</si>
  <si>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</si>
  <si>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</si>
  <si>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</si>
  <si>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</si>
  <si>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</si>
  <si>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</si>
  <si>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</si>
  <si>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</si>
  <si>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</si>
  <si>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</si>
  <si>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</si>
  <si>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</si>
  <si>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</si>
  <si>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</si>
  <si>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</si>
  <si>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</si>
  <si>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</si>
  <si>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</si>
  <si>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</si>
  <si>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</si>
  <si>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</si>
  <si>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</si>
  <si>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</si>
  <si>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</si>
  <si>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</si>
  <si>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</si>
  <si>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</si>
  <si>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</si>
  <si>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</si>
  <si>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</si>
  <si>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</si>
  <si>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</si>
  <si>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</si>
  <si>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</si>
  <si>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</si>
  <si>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</si>
  <si>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</si>
  <si>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</si>
  <si>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</si>
  <si>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</si>
  <si>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</si>
  <si>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</si>
  <si>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</si>
  <si>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</si>
  <si>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</si>
  <si>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</si>
  <si>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</si>
  <si>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</si>
  <si>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</si>
  <si>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</si>
  <si>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</si>
  <si>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</si>
  <si>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</si>
  <si>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</si>
  <si>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</si>
  <si>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</si>
  <si>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</si>
  <si>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</si>
  <si>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</si>
  <si>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</si>
  <si>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</si>
  <si>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</si>
  <si>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</si>
  <si>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</si>
  <si>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</si>
  <si>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</si>
  <si>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</si>
  <si>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</si>
  <si>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</si>
  <si>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</si>
  <si>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</si>
  <si>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</si>
  <si>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</si>
  <si>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</si>
  <si>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</si>
  <si>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</si>
  <si>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</si>
  <si>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</si>
  <si>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</si>
  <si>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</si>
  <si>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</si>
  <si>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</si>
  <si>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</si>
  <si>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</si>
  <si>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</si>
  <si>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</si>
  <si>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</si>
  <si>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</si>
  <si>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</si>
  <si>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</si>
  <si>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</si>
  <si>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</si>
  <si>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</si>
  <si>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</si>
  <si>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</si>
  <si>
    <t xml:space="preserve">Freidy Hinojosa Sánchez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</si>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</sst>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sz val="11"/>
      <color theme="0"/>
      <name val="Calibri"/>
      <family val="2"/>
      <scheme val="minor"/>
    </font>
    <font>
      <b/>
      <i/>
      <sz val="11"/>
      <color theme="0"/>
      <name val="Gotham"/>
    </font>
    <font>
      <b/>
      <sz val="11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6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15</xdr:col>
      <xdr:colOff>600076</xdr:colOff>
      <xdr:row>1</xdr:row>
      <xdr:rowOff>104775</xdr:rowOff>
    </xdr:from>
    <xdr:to>
      <xdr:col>17</xdr:col>
      <xdr:colOff>459262</xdr:colOff>
      <xdr:row>5</xdr:row>
      <xdr:rowOff>126000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54576" y="29527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93"/>
  <sheetViews>
    <sheetView showGridLines="0" topLeftCell="B3" workbookViewId="0">
      <selection activeCell="C31" sqref="C30:C31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57" t="s">
        <v>110</v>
      </c>
      <c r="D3" s="57"/>
      <c r="E3" s="5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57" t="s">
        <v>98</v>
      </c>
      <c r="D4" s="57"/>
      <c r="E4" s="57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54">
        <v>2026</v>
      </c>
      <c r="D5" s="55"/>
      <c r="E5" s="55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56" t="s">
        <v>76</v>
      </c>
      <c r="D6" s="43"/>
      <c r="E6" s="4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56" t="s">
        <v>77</v>
      </c>
      <c r="D7" s="43"/>
      <c r="E7" s="43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51" t="s">
        <v>66</v>
      </c>
      <c r="D9" s="52" t="s">
        <v>94</v>
      </c>
      <c r="E9" s="52" t="s">
        <v>93</v>
      </c>
      <c r="F9" s="8"/>
    </row>
    <row r="10" spans="2:16" ht="23.25" customHeight="1" x14ac:dyDescent="0.25">
      <c r="C10" s="51"/>
      <c r="D10" s="53"/>
      <c r="E10" s="53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233011100</v>
      </c>
      <c r="E12" s="4">
        <f>E13+E14+E17</f>
        <v>233011100</v>
      </c>
      <c r="F12" s="8"/>
    </row>
    <row r="13" spans="2:16" x14ac:dyDescent="0.25">
      <c r="C13" s="5" t="s">
        <v>2</v>
      </c>
      <c r="D13" s="6">
        <v>175923207</v>
      </c>
      <c r="E13" s="6">
        <v>175355207</v>
      </c>
      <c r="F13" s="8"/>
    </row>
    <row r="14" spans="2:16" x14ac:dyDescent="0.25">
      <c r="C14" s="5" t="s">
        <v>3</v>
      </c>
      <c r="D14" s="6">
        <v>32210262</v>
      </c>
      <c r="E14" s="6">
        <v>32778262</v>
      </c>
      <c r="F14" s="8"/>
    </row>
    <row r="15" spans="2:16" x14ac:dyDescent="0.25">
      <c r="C15" s="5" t="s">
        <v>4</v>
      </c>
      <c r="D15" s="6"/>
      <c r="E15" s="6"/>
      <c r="F15" s="8"/>
    </row>
    <row r="16" spans="2:16" x14ac:dyDescent="0.25">
      <c r="C16" s="5" t="s">
        <v>5</v>
      </c>
      <c r="D16" s="6"/>
      <c r="E16" s="6"/>
      <c r="F16" s="8"/>
    </row>
    <row r="17" spans="3:6" x14ac:dyDescent="0.25">
      <c r="C17" s="5" t="s">
        <v>6</v>
      </c>
      <c r="D17" s="6">
        <v>24877631</v>
      </c>
      <c r="E17" s="6">
        <v>24877631</v>
      </c>
      <c r="F17" s="8"/>
    </row>
    <row r="18" spans="3:6" x14ac:dyDescent="0.25">
      <c r="C18" s="3" t="s">
        <v>7</v>
      </c>
      <c r="D18" s="4">
        <f>D19+D20+D21+D22+D23+D24+D25+D26+D27</f>
        <v>83152099</v>
      </c>
      <c r="E18" s="4">
        <f>E19+E20+E21+E22+E23+E24+E25+E26+E27</f>
        <v>88412083.409999996</v>
      </c>
      <c r="F18" s="8"/>
    </row>
    <row r="19" spans="3:6" x14ac:dyDescent="0.25">
      <c r="C19" s="5" t="s">
        <v>8</v>
      </c>
      <c r="D19" s="6">
        <v>26752090</v>
      </c>
      <c r="E19" s="6">
        <v>26819657.5</v>
      </c>
      <c r="F19" s="8"/>
    </row>
    <row r="20" spans="3:6" x14ac:dyDescent="0.25">
      <c r="C20" s="5" t="s">
        <v>9</v>
      </c>
      <c r="D20" s="6">
        <v>104500</v>
      </c>
      <c r="E20" s="6">
        <v>44500</v>
      </c>
      <c r="F20" s="8"/>
    </row>
    <row r="21" spans="3:6" x14ac:dyDescent="0.25">
      <c r="C21" s="5" t="s">
        <v>10</v>
      </c>
      <c r="D21" s="6">
        <v>2036000</v>
      </c>
      <c r="E21" s="6">
        <v>5328277.7699999996</v>
      </c>
      <c r="F21" s="8"/>
    </row>
    <row r="22" spans="3:6" x14ac:dyDescent="0.25">
      <c r="C22" s="5" t="s">
        <v>11</v>
      </c>
      <c r="D22" s="6">
        <v>219000</v>
      </c>
      <c r="E22" s="6">
        <v>219000</v>
      </c>
      <c r="F22" s="8"/>
    </row>
    <row r="23" spans="3:6" x14ac:dyDescent="0.25">
      <c r="C23" s="5" t="s">
        <v>12</v>
      </c>
      <c r="D23" s="6">
        <v>23260000</v>
      </c>
      <c r="E23" s="6">
        <v>23716481.059999999</v>
      </c>
    </row>
    <row r="24" spans="3:6" x14ac:dyDescent="0.25">
      <c r="C24" s="5" t="s">
        <v>13</v>
      </c>
      <c r="D24" s="6">
        <v>15692720</v>
      </c>
      <c r="E24" s="6">
        <v>15717220</v>
      </c>
    </row>
    <row r="25" spans="3:6" x14ac:dyDescent="0.25">
      <c r="C25" s="5" t="s">
        <v>14</v>
      </c>
      <c r="D25" s="6">
        <v>2671200</v>
      </c>
      <c r="E25" s="6">
        <v>3282220</v>
      </c>
    </row>
    <row r="26" spans="3:6" x14ac:dyDescent="0.25">
      <c r="C26" s="5" t="s">
        <v>15</v>
      </c>
      <c r="D26" s="6">
        <v>8218589</v>
      </c>
      <c r="E26" s="6">
        <v>8776201.2599999998</v>
      </c>
    </row>
    <row r="27" spans="3:6" x14ac:dyDescent="0.25">
      <c r="C27" s="5" t="s">
        <v>16</v>
      </c>
      <c r="D27" s="6">
        <v>4198000</v>
      </c>
      <c r="E27" s="6">
        <v>4508525.82</v>
      </c>
    </row>
    <row r="28" spans="3:6" x14ac:dyDescent="0.25">
      <c r="C28" s="3" t="s">
        <v>17</v>
      </c>
      <c r="D28" s="4">
        <f>D29+D30+D31+D32+D33+D34+D35+D37</f>
        <v>12083506</v>
      </c>
      <c r="E28" s="4">
        <f>E29+E30+E31+E32+E33+E34+E35+E37</f>
        <v>11264231</v>
      </c>
    </row>
    <row r="29" spans="3:6" x14ac:dyDescent="0.25">
      <c r="C29" s="5" t="s">
        <v>18</v>
      </c>
      <c r="D29" s="6">
        <v>460000</v>
      </c>
      <c r="E29" s="6">
        <v>502000</v>
      </c>
    </row>
    <row r="30" spans="3:6" x14ac:dyDescent="0.25">
      <c r="C30" s="5" t="s">
        <v>19</v>
      </c>
      <c r="D30" s="6">
        <v>70000</v>
      </c>
      <c r="E30" s="6">
        <v>25000</v>
      </c>
    </row>
    <row r="31" spans="3:6" x14ac:dyDescent="0.25">
      <c r="C31" s="5" t="s">
        <v>20</v>
      </c>
      <c r="D31" s="6">
        <v>300000</v>
      </c>
      <c r="E31" s="6">
        <v>230157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1200000</v>
      </c>
      <c r="E33" s="6">
        <v>248907</v>
      </c>
    </row>
    <row r="34" spans="3:5" x14ac:dyDescent="0.25">
      <c r="C34" s="5" t="s">
        <v>23</v>
      </c>
      <c r="D34" s="6">
        <v>200000</v>
      </c>
      <c r="E34" s="6">
        <v>58000</v>
      </c>
    </row>
    <row r="35" spans="3:5" x14ac:dyDescent="0.25">
      <c r="C35" s="5" t="s">
        <v>24</v>
      </c>
      <c r="D35" s="6">
        <v>9140000</v>
      </c>
      <c r="E35" s="6">
        <v>9158750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713506</v>
      </c>
      <c r="E37" s="6">
        <v>1041417</v>
      </c>
    </row>
    <row r="38" spans="3:5" x14ac:dyDescent="0.25">
      <c r="C38" s="3" t="s">
        <v>27</v>
      </c>
      <c r="D38" s="4">
        <f>D39</f>
        <v>40000</v>
      </c>
      <c r="E38" s="4">
        <f>E39</f>
        <v>40000</v>
      </c>
    </row>
    <row r="39" spans="3:5" x14ac:dyDescent="0.25">
      <c r="C39" s="5" t="s">
        <v>28</v>
      </c>
      <c r="D39" s="6">
        <v>40000</v>
      </c>
      <c r="E39" s="6">
        <v>40000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800000</v>
      </c>
      <c r="E54" s="4">
        <f>E55+E58+E59+E56+E62+E60</f>
        <v>740000</v>
      </c>
    </row>
    <row r="55" spans="3:5" x14ac:dyDescent="0.25">
      <c r="C55" s="5" t="s">
        <v>44</v>
      </c>
      <c r="D55" s="6">
        <v>550000</v>
      </c>
      <c r="E55" s="6">
        <v>561268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250000</v>
      </c>
      <c r="E59" s="6">
        <v>128700</v>
      </c>
    </row>
    <row r="60" spans="3:5" x14ac:dyDescent="0.25">
      <c r="C60" s="5" t="s">
        <v>49</v>
      </c>
      <c r="D60" s="6"/>
      <c r="E60" s="6">
        <v>50032</v>
      </c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/>
    </row>
    <row r="63" spans="3:5" x14ac:dyDescent="0.25">
      <c r="C63" s="5" t="s">
        <v>52</v>
      </c>
      <c r="D63" s="6"/>
      <c r="E63" t="s">
        <v>113</v>
      </c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329086705</v>
      </c>
      <c r="E85" s="23">
        <f>E54+E38+E28+E18+E12</f>
        <v>333467414.40999997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99"/>
  <sheetViews>
    <sheetView showGridLines="0" tabSelected="1" topLeftCell="C1" workbookViewId="0">
      <selection activeCell="E90" sqref="E90"/>
    </sheetView>
  </sheetViews>
  <sheetFormatPr defaultColWidth="11.42578125" defaultRowHeight="15" x14ac:dyDescent="0.25"/>
  <cols>
    <col min="1" max="1" width="4" customWidth="1"/>
    <col min="2" max="2" width="3.140625" customWidth="1"/>
    <col min="3" max="3" width="76.42578125" customWidth="1"/>
    <col min="4" max="4" width="19.5703125" customWidth="1"/>
    <col min="5" max="5" width="16.7109375" customWidth="1"/>
    <col min="6" max="6" width="13.140625" customWidth="1"/>
    <col min="7" max="7" width="15.140625" customWidth="1"/>
    <col min="8" max="9" width="13.28515625" customWidth="1"/>
    <col min="10" max="10" width="13.7109375" customWidth="1"/>
    <col min="11" max="11" width="13" customWidth="1"/>
    <col min="12" max="12" width="12.85546875" customWidth="1"/>
    <col min="13" max="13" width="13.140625" customWidth="1"/>
    <col min="14" max="14" width="12.85546875" customWidth="1"/>
    <col min="15" max="15" width="14" customWidth="1"/>
    <col min="16" max="16" width="12.7109375" customWidth="1"/>
    <col min="17" max="17" width="13.42578125" customWidth="1"/>
    <col min="18" max="18" width="15.5703125" customWidth="1"/>
  </cols>
  <sheetData>
    <row r="3" spans="3:19" ht="28.5" customHeight="1" x14ac:dyDescent="0.25">
      <c r="C3" s="47" t="s">
        <v>110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3:19" ht="21" customHeight="1" x14ac:dyDescent="0.25">
      <c r="C4" s="49" t="s">
        <v>99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</row>
    <row r="5" spans="3:19" ht="15.75" x14ac:dyDescent="0.25">
      <c r="C5" s="54">
        <v>2026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</row>
    <row r="6" spans="3:19" ht="15.75" customHeight="1" x14ac:dyDescent="0.25">
      <c r="C6" s="56" t="s">
        <v>92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</row>
    <row r="7" spans="3:19" ht="15.75" customHeight="1" x14ac:dyDescent="0.25">
      <c r="C7" s="43" t="s">
        <v>77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9" spans="3:19" ht="25.5" customHeight="1" x14ac:dyDescent="0.25">
      <c r="C9" s="51" t="s">
        <v>66</v>
      </c>
      <c r="D9" s="52" t="s">
        <v>94</v>
      </c>
      <c r="E9" s="52" t="s">
        <v>93</v>
      </c>
      <c r="F9" s="44" t="s">
        <v>91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6"/>
    </row>
    <row r="10" spans="3:19" x14ac:dyDescent="0.25">
      <c r="C10" s="51"/>
      <c r="D10" s="53"/>
      <c r="E10" s="53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5">
        <f>D13+D14+D17</f>
        <v>233011100</v>
      </c>
      <c r="E12" s="25">
        <f>E13+E14+E17</f>
        <v>233011100</v>
      </c>
      <c r="F12" s="25">
        <f t="shared" ref="F12:Q12" si="0">F13+F14+F17</f>
        <v>16468246.950000001</v>
      </c>
      <c r="G12" s="25">
        <f t="shared" si="0"/>
        <v>17894777.140000001</v>
      </c>
      <c r="H12" s="25">
        <f t="shared" si="0"/>
        <v>17140657.43</v>
      </c>
      <c r="I12" s="25">
        <f t="shared" si="0"/>
        <v>28782888.059999999</v>
      </c>
      <c r="J12" s="25">
        <f t="shared" si="0"/>
        <v>16753187.51</v>
      </c>
      <c r="K12" s="25">
        <f t="shared" si="0"/>
        <v>17567383.009999998</v>
      </c>
      <c r="L12" s="25">
        <f t="shared" si="0"/>
        <v>0</v>
      </c>
      <c r="M12" s="25">
        <f t="shared" si="0"/>
        <v>0</v>
      </c>
      <c r="N12" s="25">
        <f t="shared" si="0"/>
        <v>0</v>
      </c>
      <c r="O12" s="25">
        <f t="shared" si="0"/>
        <v>0</v>
      </c>
      <c r="P12" s="25">
        <f t="shared" si="0"/>
        <v>0</v>
      </c>
      <c r="Q12" s="25">
        <f t="shared" si="0"/>
        <v>0</v>
      </c>
      <c r="R12" s="25">
        <f>SUM(F12:Q12)</f>
        <v>114607140.09999999</v>
      </c>
    </row>
    <row r="13" spans="3:19" x14ac:dyDescent="0.25">
      <c r="C13" s="5" t="s">
        <v>2</v>
      </c>
      <c r="D13" s="24">
        <v>175923207</v>
      </c>
      <c r="E13" s="24">
        <v>175355207</v>
      </c>
      <c r="F13" s="24">
        <f>11749838.91+7500+2321824.5+283148.31</f>
        <v>14362311.720000001</v>
      </c>
      <c r="G13" s="24">
        <v>15340960.15</v>
      </c>
      <c r="H13" s="24">
        <f>12922124.36+168000+120333.33+1260000+340101.52</f>
        <v>14810559.209999999</v>
      </c>
      <c r="I13" s="24">
        <f>12996124.36+160000+140000+13143268.86</f>
        <v>26439393.219999999</v>
      </c>
      <c r="J13" s="24">
        <v>14344624.359999999</v>
      </c>
      <c r="K13" s="24">
        <f>13366374.36+95000+674333.33+821365.94</f>
        <v>14957073.629999999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f>SUM(F13:Q13)</f>
        <v>100254922.28999999</v>
      </c>
    </row>
    <row r="14" spans="3:19" x14ac:dyDescent="0.25">
      <c r="C14" s="5" t="s">
        <v>3</v>
      </c>
      <c r="D14" s="24">
        <v>32210262</v>
      </c>
      <c r="E14" s="24">
        <v>32778262</v>
      </c>
      <c r="F14" s="24">
        <v>333500</v>
      </c>
      <c r="G14" s="24">
        <v>333500</v>
      </c>
      <c r="H14" s="24">
        <v>333500</v>
      </c>
      <c r="I14" s="24">
        <v>333500</v>
      </c>
      <c r="J14" s="24">
        <v>333500</v>
      </c>
      <c r="K14" s="24">
        <v>475500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f>SUM(F14:Q14)</f>
        <v>2143000</v>
      </c>
    </row>
    <row r="15" spans="3:19" x14ac:dyDescent="0.25">
      <c r="C15" s="5" t="s">
        <v>4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17"/>
    </row>
    <row r="16" spans="3:19" x14ac:dyDescent="0.25">
      <c r="C16" s="5" t="s">
        <v>5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</row>
    <row r="17" spans="3:18" x14ac:dyDescent="0.25">
      <c r="C17" s="5" t="s">
        <v>6</v>
      </c>
      <c r="D17" s="24">
        <v>24877631</v>
      </c>
      <c r="E17" s="24">
        <v>24877631</v>
      </c>
      <c r="F17" s="24">
        <f>830174.3+834771.05+107489.88</f>
        <v>1772435.23</v>
      </c>
      <c r="G17" s="24">
        <f>1039218.29+1043010.65+138088.05</f>
        <v>2220316.9899999998</v>
      </c>
      <c r="H17" s="24">
        <f>934298.1+937942.49+124357.63</f>
        <v>1996598.2199999997</v>
      </c>
      <c r="I17" s="24">
        <f>940371.87+944024.82+125598.15</f>
        <v>2009994.8399999999</v>
      </c>
      <c r="J17" s="24">
        <v>2075063.15</v>
      </c>
      <c r="K17" s="24">
        <f>999898.33+1003635.24+131275.81</f>
        <v>2134809.38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f t="shared" ref="R17:R27" si="1">SUM(F17:Q17)</f>
        <v>12209217.809999999</v>
      </c>
    </row>
    <row r="18" spans="3:18" x14ac:dyDescent="0.25">
      <c r="C18" s="3" t="s">
        <v>7</v>
      </c>
      <c r="D18" s="25">
        <f t="shared" ref="D18:I18" si="2">D19+D20+D21+D22+D23+D24+D25+D26+D27</f>
        <v>83152099</v>
      </c>
      <c r="E18" s="25">
        <f t="shared" si="2"/>
        <v>88412083.409999996</v>
      </c>
      <c r="F18" s="25">
        <f t="shared" si="2"/>
        <v>4195312.53</v>
      </c>
      <c r="G18" s="25">
        <f>G19+G20+G21+G22+G23+G24+G25+G26+G27</f>
        <v>5136944.09</v>
      </c>
      <c r="H18" s="25">
        <f t="shared" si="2"/>
        <v>8706612.4900000002</v>
      </c>
      <c r="I18" s="25">
        <f t="shared" si="2"/>
        <v>4273732.05</v>
      </c>
      <c r="J18" s="25">
        <f t="shared" ref="J18:Q18" si="3">J19+J20+J21+J22+J23+J24+J25+J26+J27</f>
        <v>5408974.8200000003</v>
      </c>
      <c r="K18" s="25">
        <f t="shared" si="3"/>
        <v>11222477.609999999</v>
      </c>
      <c r="L18" s="25">
        <f t="shared" si="3"/>
        <v>0</v>
      </c>
      <c r="M18" s="25">
        <f t="shared" si="3"/>
        <v>0</v>
      </c>
      <c r="N18" s="25">
        <f t="shared" si="3"/>
        <v>0</v>
      </c>
      <c r="O18" s="25">
        <f t="shared" si="3"/>
        <v>0</v>
      </c>
      <c r="P18" s="25">
        <f t="shared" si="3"/>
        <v>0</v>
      </c>
      <c r="Q18" s="25">
        <f t="shared" si="3"/>
        <v>0</v>
      </c>
      <c r="R18" s="25">
        <f t="shared" si="1"/>
        <v>38944053.590000004</v>
      </c>
    </row>
    <row r="19" spans="3:18" x14ac:dyDescent="0.25">
      <c r="C19" s="5" t="s">
        <v>8</v>
      </c>
      <c r="D19" s="24">
        <v>26752090</v>
      </c>
      <c r="E19" s="24">
        <v>26819657.5</v>
      </c>
      <c r="F19" s="24">
        <f>691768.57+394996.41+1670784.43+518358.91+3094+1600</f>
        <v>3280602.3200000003</v>
      </c>
      <c r="G19" s="24">
        <f>392341.28+207269.58+1075113.15+430030.45+900</f>
        <v>2105654.46</v>
      </c>
      <c r="H19" s="24">
        <f>604959.42+281054.54+1014771.82+478298.88+6188+5070</f>
        <v>2390342.6599999997</v>
      </c>
      <c r="I19" s="24">
        <f>529931.15+190610.74+950116.33+491934.35+3094+1900+25219.3</f>
        <v>2192805.8699999996</v>
      </c>
      <c r="J19" s="24">
        <v>1864517.6</v>
      </c>
      <c r="K19" s="24">
        <f>527282.61+230059.32+895577.66+533013.13+3094+3030</f>
        <v>2192056.7199999997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f t="shared" si="1"/>
        <v>14025979.629999999</v>
      </c>
    </row>
    <row r="20" spans="3:18" x14ac:dyDescent="0.25">
      <c r="C20" s="5" t="s">
        <v>9</v>
      </c>
      <c r="D20" s="24">
        <v>104500</v>
      </c>
      <c r="E20" s="24">
        <v>44500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f t="shared" si="1"/>
        <v>0</v>
      </c>
    </row>
    <row r="21" spans="3:18" x14ac:dyDescent="0.25">
      <c r="C21" s="5" t="s">
        <v>10</v>
      </c>
      <c r="D21" s="24">
        <v>2036000</v>
      </c>
      <c r="E21" s="24">
        <v>5328277.7699999996</v>
      </c>
      <c r="F21" s="24">
        <v>23335</v>
      </c>
      <c r="G21" s="24">
        <v>1380385</v>
      </c>
      <c r="H21" s="24">
        <v>2238100</v>
      </c>
      <c r="I21" s="24">
        <v>258797.5</v>
      </c>
      <c r="J21" s="24">
        <v>178047.5</v>
      </c>
      <c r="K21" s="24">
        <f>192801.5+22118.4</f>
        <v>214919.9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f t="shared" si="1"/>
        <v>4293584.9000000004</v>
      </c>
    </row>
    <row r="22" spans="3:18" x14ac:dyDescent="0.25">
      <c r="C22" s="5" t="s">
        <v>11</v>
      </c>
      <c r="D22" s="24">
        <v>219000</v>
      </c>
      <c r="E22" s="24">
        <v>219000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f t="shared" si="1"/>
        <v>0</v>
      </c>
    </row>
    <row r="23" spans="3:18" x14ac:dyDescent="0.25">
      <c r="C23" s="5" t="s">
        <v>12</v>
      </c>
      <c r="D23" s="24">
        <v>23260000</v>
      </c>
      <c r="E23" s="24">
        <v>23716481.059999999</v>
      </c>
      <c r="F23" s="24">
        <v>81184</v>
      </c>
      <c r="G23" s="24">
        <v>0</v>
      </c>
      <c r="H23" s="24">
        <v>1053902.8400000001</v>
      </c>
      <c r="I23" s="24">
        <f>97804.8+114762.08</f>
        <v>212566.88</v>
      </c>
      <c r="J23" s="24">
        <v>104184</v>
      </c>
      <c r="K23" s="24">
        <f>7646959.39+81184</f>
        <v>7728143.3899999997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f t="shared" si="1"/>
        <v>9179981.1099999994</v>
      </c>
    </row>
    <row r="24" spans="3:18" x14ac:dyDescent="0.25">
      <c r="C24" s="5" t="s">
        <v>13</v>
      </c>
      <c r="D24" s="24">
        <v>15692720</v>
      </c>
      <c r="E24" s="24">
        <v>15717220</v>
      </c>
      <c r="F24" s="24">
        <v>660239.43999999994</v>
      </c>
      <c r="G24" s="24">
        <v>1366288.89</v>
      </c>
      <c r="H24" s="24">
        <v>953165.64</v>
      </c>
      <c r="I24" s="24">
        <f>646085.95+612149.3</f>
        <v>1258235.25</v>
      </c>
      <c r="J24" s="24">
        <v>1392878.65</v>
      </c>
      <c r="K24" s="24">
        <v>684422.25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f t="shared" si="1"/>
        <v>6315230.1199999992</v>
      </c>
    </row>
    <row r="25" spans="3:18" ht="30" x14ac:dyDescent="0.25">
      <c r="C25" s="29" t="s">
        <v>14</v>
      </c>
      <c r="D25" s="24">
        <v>2671200</v>
      </c>
      <c r="E25" s="24">
        <v>3282220</v>
      </c>
      <c r="F25" s="24">
        <v>0</v>
      </c>
      <c r="G25" s="24">
        <f>41300+40493.66</f>
        <v>81793.66</v>
      </c>
      <c r="H25" s="24">
        <f>88736+70682</f>
        <v>159418</v>
      </c>
      <c r="I25" s="24">
        <v>25299.200000000001</v>
      </c>
      <c r="J25" s="24">
        <v>1575836.9</v>
      </c>
      <c r="K25" s="24">
        <v>41300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f t="shared" si="1"/>
        <v>1883647.7599999998</v>
      </c>
    </row>
    <row r="26" spans="3:18" x14ac:dyDescent="0.25">
      <c r="C26" s="5" t="s">
        <v>15</v>
      </c>
      <c r="D26" s="24">
        <v>8218589</v>
      </c>
      <c r="E26" s="24">
        <v>8776201.2599999998</v>
      </c>
      <c r="F26" s="24">
        <f>16000</f>
        <v>16000</v>
      </c>
      <c r="G26" s="24">
        <f>58970.5+16000+35400</f>
        <v>110370.5</v>
      </c>
      <c r="H26" s="24">
        <f>16000+1063230.3</f>
        <v>1079230.3</v>
      </c>
      <c r="I26" s="24">
        <f>22479+16000+233208.12+24072</f>
        <v>295759.12</v>
      </c>
      <c r="J26" s="24">
        <v>124969.5</v>
      </c>
      <c r="K26" s="24">
        <f>16000+41064</f>
        <v>57064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f t="shared" si="1"/>
        <v>1683393.42</v>
      </c>
    </row>
    <row r="27" spans="3:18" x14ac:dyDescent="0.25">
      <c r="C27" s="5" t="s">
        <v>16</v>
      </c>
      <c r="D27" s="24">
        <v>4198000</v>
      </c>
      <c r="E27" s="24">
        <v>4508525.82</v>
      </c>
      <c r="F27" s="24">
        <v>133951.76999999999</v>
      </c>
      <c r="G27" s="24">
        <v>92451.58</v>
      </c>
      <c r="H27" s="24">
        <v>832453.05</v>
      </c>
      <c r="I27" s="24">
        <f>10000.5+20267.73</f>
        <v>30268.23</v>
      </c>
      <c r="J27" s="24">
        <v>168540.67</v>
      </c>
      <c r="K27" s="24">
        <f>224267.04+80304.31</f>
        <v>304571.34999999998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f t="shared" si="1"/>
        <v>1562236.65</v>
      </c>
    </row>
    <row r="28" spans="3:18" x14ac:dyDescent="0.25">
      <c r="C28" s="3" t="s">
        <v>17</v>
      </c>
      <c r="D28" s="25">
        <f>D29+D30+D31+D32+D33+D34+D35+D37</f>
        <v>12083506</v>
      </c>
      <c r="E28" s="25">
        <f>E29+E30+E31+E32+E33+E34+E35+E37</f>
        <v>11264231</v>
      </c>
      <c r="F28" s="25">
        <f t="shared" ref="F28:R28" si="4">F29+F30+F31+F32+F33+F34+F35+F37</f>
        <v>452000</v>
      </c>
      <c r="G28" s="25">
        <f t="shared" si="4"/>
        <v>495390.28</v>
      </c>
      <c r="H28" s="25">
        <f t="shared" si="4"/>
        <v>683323.69000000006</v>
      </c>
      <c r="I28" s="25">
        <f t="shared" si="4"/>
        <v>792380.51</v>
      </c>
      <c r="J28" s="25">
        <f t="shared" si="4"/>
        <v>548610</v>
      </c>
      <c r="K28" s="25">
        <f t="shared" si="4"/>
        <v>829057.72</v>
      </c>
      <c r="L28" s="25">
        <f t="shared" si="4"/>
        <v>0</v>
      </c>
      <c r="M28" s="25">
        <f t="shared" si="4"/>
        <v>0</v>
      </c>
      <c r="N28" s="25">
        <f t="shared" si="4"/>
        <v>0</v>
      </c>
      <c r="O28" s="25">
        <f t="shared" si="4"/>
        <v>0</v>
      </c>
      <c r="P28" s="25">
        <f t="shared" si="4"/>
        <v>0</v>
      </c>
      <c r="Q28" s="25">
        <f t="shared" si="4"/>
        <v>0</v>
      </c>
      <c r="R28" s="25">
        <f t="shared" si="4"/>
        <v>3800762.1999999997</v>
      </c>
    </row>
    <row r="29" spans="3:18" x14ac:dyDescent="0.25">
      <c r="C29" s="5" t="s">
        <v>18</v>
      </c>
      <c r="D29" s="24">
        <v>460000</v>
      </c>
      <c r="E29" s="24">
        <v>502000</v>
      </c>
      <c r="F29" s="24">
        <v>0</v>
      </c>
      <c r="G29" s="24">
        <v>29480</v>
      </c>
      <c r="H29" s="24">
        <v>15420</v>
      </c>
      <c r="I29" s="24">
        <v>248319.51</v>
      </c>
      <c r="J29" s="24">
        <v>9360</v>
      </c>
      <c r="K29" s="24">
        <v>38259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f t="shared" ref="R29:R36" si="5">SUM(F29:Q29)</f>
        <v>340838.51</v>
      </c>
    </row>
    <row r="30" spans="3:18" x14ac:dyDescent="0.25">
      <c r="C30" s="5" t="s">
        <v>19</v>
      </c>
      <c r="D30" s="24">
        <v>70000</v>
      </c>
      <c r="E30" s="24">
        <v>25000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f t="shared" si="5"/>
        <v>0</v>
      </c>
    </row>
    <row r="31" spans="3:18" x14ac:dyDescent="0.25">
      <c r="C31" s="5" t="s">
        <v>20</v>
      </c>
      <c r="D31" s="24">
        <v>300000</v>
      </c>
      <c r="E31" s="24">
        <v>230157</v>
      </c>
      <c r="F31" s="24">
        <v>0</v>
      </c>
      <c r="G31" s="24">
        <v>0</v>
      </c>
      <c r="H31" s="24">
        <v>17552.5</v>
      </c>
      <c r="I31" s="24">
        <f>6549+5304.1</f>
        <v>11853.1</v>
      </c>
      <c r="J31" s="24">
        <v>0</v>
      </c>
      <c r="K31" s="24">
        <v>90010.4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f t="shared" si="5"/>
        <v>119416</v>
      </c>
    </row>
    <row r="32" spans="3:18" x14ac:dyDescent="0.25">
      <c r="C32" s="5" t="s">
        <v>21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f t="shared" si="5"/>
        <v>0</v>
      </c>
    </row>
    <row r="33" spans="3:18" x14ac:dyDescent="0.25">
      <c r="C33" s="5" t="s">
        <v>22</v>
      </c>
      <c r="D33" s="24">
        <v>1200000</v>
      </c>
      <c r="E33" s="24">
        <v>248907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f t="shared" si="5"/>
        <v>0</v>
      </c>
    </row>
    <row r="34" spans="3:18" x14ac:dyDescent="0.25">
      <c r="C34" s="5" t="s">
        <v>23</v>
      </c>
      <c r="D34" s="24">
        <v>200000</v>
      </c>
      <c r="E34" s="24">
        <v>58000</v>
      </c>
      <c r="F34" s="24">
        <v>0</v>
      </c>
      <c r="G34" s="24">
        <v>0</v>
      </c>
      <c r="H34" s="24">
        <f>5315.39+3639.38+590</f>
        <v>9544.77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f t="shared" si="5"/>
        <v>9544.77</v>
      </c>
    </row>
    <row r="35" spans="3:18" x14ac:dyDescent="0.25">
      <c r="C35" s="5" t="s">
        <v>24</v>
      </c>
      <c r="D35" s="24">
        <v>9140000</v>
      </c>
      <c r="E35" s="24">
        <v>9158750</v>
      </c>
      <c r="F35" s="24">
        <v>452000</v>
      </c>
      <c r="G35" s="24">
        <v>442000</v>
      </c>
      <c r="H35" s="24">
        <f>484000+99999.99+9318.46+1607.16</f>
        <v>594925.61</v>
      </c>
      <c r="I35" s="24">
        <f>500500+649</f>
        <v>501149</v>
      </c>
      <c r="J35" s="24">
        <v>524500</v>
      </c>
      <c r="K35" s="24">
        <v>535500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f t="shared" si="5"/>
        <v>3050074.61</v>
      </c>
    </row>
    <row r="36" spans="3:18" x14ac:dyDescent="0.25">
      <c r="C36" s="5" t="s">
        <v>25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f t="shared" si="5"/>
        <v>0</v>
      </c>
    </row>
    <row r="37" spans="3:18" x14ac:dyDescent="0.25">
      <c r="C37" s="5" t="s">
        <v>26</v>
      </c>
      <c r="D37" s="24">
        <v>713506</v>
      </c>
      <c r="E37" s="24">
        <v>1041417</v>
      </c>
      <c r="F37" s="24">
        <v>0</v>
      </c>
      <c r="G37" s="24">
        <v>23910.28</v>
      </c>
      <c r="H37" s="24">
        <f>8754.48+23883.2+365.8+12602.39+274.94</f>
        <v>45880.810000000005</v>
      </c>
      <c r="I37" s="24">
        <f>5752.5+955.8+24350.6</f>
        <v>31058.899999999998</v>
      </c>
      <c r="J37" s="24">
        <v>14750</v>
      </c>
      <c r="K37" s="24">
        <f>36839.4+5195.19+71862+4245.35+45922.18+1224.2</f>
        <v>165288.32000000001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f>SUM(F37:Q37)</f>
        <v>280888.31</v>
      </c>
    </row>
    <row r="38" spans="3:18" x14ac:dyDescent="0.25">
      <c r="C38" s="3" t="s">
        <v>27</v>
      </c>
      <c r="D38" s="25">
        <f>D39</f>
        <v>40000</v>
      </c>
      <c r="E38" s="25">
        <f>E39</f>
        <v>40000</v>
      </c>
      <c r="F38" s="25">
        <f t="shared" ref="F38:R38" si="6">F39</f>
        <v>0</v>
      </c>
      <c r="G38" s="25">
        <f t="shared" si="6"/>
        <v>0</v>
      </c>
      <c r="H38" s="25">
        <f t="shared" si="6"/>
        <v>0</v>
      </c>
      <c r="I38" s="25">
        <f t="shared" si="6"/>
        <v>20000</v>
      </c>
      <c r="J38" s="25">
        <f t="shared" si="6"/>
        <v>0</v>
      </c>
      <c r="K38" s="25">
        <f t="shared" si="6"/>
        <v>0</v>
      </c>
      <c r="L38" s="25">
        <f t="shared" si="6"/>
        <v>0</v>
      </c>
      <c r="M38" s="25">
        <f t="shared" si="6"/>
        <v>0</v>
      </c>
      <c r="N38" s="25">
        <f t="shared" si="6"/>
        <v>0</v>
      </c>
      <c r="O38" s="25">
        <f t="shared" si="6"/>
        <v>0</v>
      </c>
      <c r="P38" s="25">
        <f t="shared" si="6"/>
        <v>0</v>
      </c>
      <c r="Q38" s="25">
        <f t="shared" si="6"/>
        <v>0</v>
      </c>
      <c r="R38" s="25">
        <f t="shared" si="6"/>
        <v>20000</v>
      </c>
    </row>
    <row r="39" spans="3:18" x14ac:dyDescent="0.25">
      <c r="C39" s="5" t="s">
        <v>28</v>
      </c>
      <c r="D39" s="24">
        <v>40000</v>
      </c>
      <c r="E39" s="24">
        <v>40000</v>
      </c>
      <c r="F39" s="24">
        <v>0</v>
      </c>
      <c r="G39" s="24">
        <v>0</v>
      </c>
      <c r="H39" s="24">
        <v>0</v>
      </c>
      <c r="I39" s="24">
        <v>20000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f>SUM(F39:Q39)</f>
        <v>20000</v>
      </c>
    </row>
    <row r="40" spans="3:18" x14ac:dyDescent="0.25">
      <c r="C40" s="5" t="s">
        <v>29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</row>
    <row r="41" spans="3:18" x14ac:dyDescent="0.25">
      <c r="C41" s="5" t="s">
        <v>30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</row>
    <row r="42" spans="3:18" x14ac:dyDescent="0.25">
      <c r="C42" s="5" t="s">
        <v>31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</row>
    <row r="43" spans="3:18" x14ac:dyDescent="0.25">
      <c r="C43" s="5" t="s">
        <v>32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</row>
    <row r="44" spans="3:18" x14ac:dyDescent="0.25">
      <c r="C44" s="5" t="s">
        <v>33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</row>
    <row r="45" spans="3:18" x14ac:dyDescent="0.25">
      <c r="C45" s="5" t="s">
        <v>34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</row>
    <row r="46" spans="3:18" x14ac:dyDescent="0.25">
      <c r="C46" s="5" t="s">
        <v>35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</row>
    <row r="47" spans="3:18" x14ac:dyDescent="0.25">
      <c r="C47" s="3" t="s">
        <v>36</v>
      </c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  <row r="48" spans="3:18" x14ac:dyDescent="0.25">
      <c r="C48" s="5" t="s">
        <v>37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</row>
    <row r="49" spans="3:18" x14ac:dyDescent="0.25">
      <c r="C49" s="5" t="s">
        <v>38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</row>
    <row r="50" spans="3:18" x14ac:dyDescent="0.25">
      <c r="C50" s="5" t="s">
        <v>39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</row>
    <row r="51" spans="3:18" x14ac:dyDescent="0.25">
      <c r="C51" s="5" t="s">
        <v>40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</row>
    <row r="52" spans="3:18" x14ac:dyDescent="0.25">
      <c r="C52" s="5" t="s">
        <v>41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</row>
    <row r="53" spans="3:18" x14ac:dyDescent="0.25">
      <c r="C53" s="5" t="s">
        <v>42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</row>
    <row r="54" spans="3:18" x14ac:dyDescent="0.25">
      <c r="C54" s="3" t="s">
        <v>43</v>
      </c>
      <c r="D54" s="25">
        <f>D55+D58+D59</f>
        <v>800000</v>
      </c>
      <c r="E54" s="25">
        <f>E55+E58+E59+E56+E62+E60</f>
        <v>740000</v>
      </c>
      <c r="F54" s="25">
        <f>F55+F58+F59</f>
        <v>0</v>
      </c>
      <c r="G54" s="25">
        <f>G55+G58+G59</f>
        <v>0</v>
      </c>
      <c r="H54" s="25">
        <f>H55+H58+H59+H62</f>
        <v>78698.92</v>
      </c>
      <c r="I54" s="25">
        <f>I55+I58+I59</f>
        <v>0</v>
      </c>
      <c r="J54" s="25">
        <f>J56+J55+J60</f>
        <v>50032</v>
      </c>
      <c r="K54" s="25">
        <f t="shared" ref="K54:O54" si="7">K55+K58+K59</f>
        <v>0</v>
      </c>
      <c r="L54" s="25">
        <f t="shared" si="7"/>
        <v>0</v>
      </c>
      <c r="M54" s="25">
        <f t="shared" si="7"/>
        <v>0</v>
      </c>
      <c r="N54" s="25">
        <f>N55+N58+N59+N56</f>
        <v>0</v>
      </c>
      <c r="O54" s="25">
        <f t="shared" si="7"/>
        <v>0</v>
      </c>
      <c r="P54" s="25">
        <f>P55+P58+P59+P56+P62</f>
        <v>0</v>
      </c>
      <c r="Q54" s="25">
        <f>Q55+Q58+Q59+Q56</f>
        <v>0</v>
      </c>
      <c r="R54" s="25">
        <f>SUM(F54:Q54)</f>
        <v>128730.92</v>
      </c>
    </row>
    <row r="55" spans="3:18" x14ac:dyDescent="0.25">
      <c r="C55" s="5" t="s">
        <v>44</v>
      </c>
      <c r="D55" s="24">
        <v>550000</v>
      </c>
      <c r="E55" s="24">
        <v>561268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f>SUM(F55:Q55)</f>
        <v>0</v>
      </c>
    </row>
    <row r="56" spans="3:18" x14ac:dyDescent="0.25">
      <c r="C56" s="5" t="s">
        <v>45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f>SUM(F56:Q56)</f>
        <v>0</v>
      </c>
    </row>
    <row r="57" spans="3:18" x14ac:dyDescent="0.25">
      <c r="C57" s="5" t="s">
        <v>46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f t="shared" ref="R57:R59" si="8">SUM(F57:Q57)</f>
        <v>0</v>
      </c>
    </row>
    <row r="58" spans="3:18" x14ac:dyDescent="0.25">
      <c r="C58" s="5" t="s">
        <v>47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f t="shared" si="8"/>
        <v>0</v>
      </c>
    </row>
    <row r="59" spans="3:18" x14ac:dyDescent="0.25">
      <c r="C59" s="5" t="s">
        <v>48</v>
      </c>
      <c r="D59" s="24">
        <v>250000</v>
      </c>
      <c r="E59" s="24">
        <v>128700</v>
      </c>
      <c r="F59" s="24">
        <v>0</v>
      </c>
      <c r="G59" s="24">
        <v>0</v>
      </c>
      <c r="H59" s="24">
        <v>78698.92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f t="shared" si="8"/>
        <v>78698.92</v>
      </c>
    </row>
    <row r="60" spans="3:18" x14ac:dyDescent="0.25">
      <c r="C60" s="5" t="s">
        <v>49</v>
      </c>
      <c r="D60" s="24">
        <v>0</v>
      </c>
      <c r="E60" s="24">
        <v>50032</v>
      </c>
      <c r="F60" s="24">
        <v>0</v>
      </c>
      <c r="G60" s="24">
        <v>0</v>
      </c>
      <c r="H60" s="24">
        <v>0</v>
      </c>
      <c r="I60" s="24">
        <v>0</v>
      </c>
      <c r="J60" s="24">
        <v>50032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</row>
    <row r="61" spans="3:18" x14ac:dyDescent="0.25">
      <c r="C61" s="5" t="s">
        <v>50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</row>
    <row r="62" spans="3:18" x14ac:dyDescent="0.25">
      <c r="C62" s="5" t="s">
        <v>51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f>SUM(F62:Q62)</f>
        <v>0</v>
      </c>
    </row>
    <row r="63" spans="3:18" x14ac:dyDescent="0.25">
      <c r="C63" s="5" t="s">
        <v>52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</row>
    <row r="64" spans="3:18" x14ac:dyDescent="0.25">
      <c r="C64" s="3" t="s">
        <v>53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 spans="3:18" x14ac:dyDescent="0.25">
      <c r="C65" s="5" t="s">
        <v>54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</row>
    <row r="66" spans="3:18" x14ac:dyDescent="0.25">
      <c r="C66" s="5" t="s">
        <v>55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</row>
    <row r="67" spans="3:18" x14ac:dyDescent="0.25">
      <c r="C67" s="5" t="s">
        <v>56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</row>
    <row r="68" spans="3:18" x14ac:dyDescent="0.25">
      <c r="C68" s="5" t="s">
        <v>57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</row>
    <row r="69" spans="3:18" x14ac:dyDescent="0.25">
      <c r="C69" s="3" t="s">
        <v>58</v>
      </c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3:18" x14ac:dyDescent="0.25">
      <c r="C70" s="5" t="s">
        <v>59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</row>
    <row r="71" spans="3:18" x14ac:dyDescent="0.25">
      <c r="C71" s="5" t="s">
        <v>60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</row>
    <row r="72" spans="3:18" x14ac:dyDescent="0.25">
      <c r="C72" s="3" t="s">
        <v>61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 spans="3:18" x14ac:dyDescent="0.25">
      <c r="C73" s="5" t="s">
        <v>62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</row>
    <row r="74" spans="3:18" x14ac:dyDescent="0.25">
      <c r="C74" s="5" t="s">
        <v>63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</row>
    <row r="75" spans="3:18" x14ac:dyDescent="0.25">
      <c r="C75" s="5" t="s">
        <v>64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</row>
    <row r="76" spans="3:18" x14ac:dyDescent="0.25">
      <c r="C76" s="1" t="s">
        <v>67</v>
      </c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</row>
    <row r="77" spans="3:18" x14ac:dyDescent="0.25">
      <c r="C77" s="3" t="s">
        <v>68</v>
      </c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</row>
    <row r="78" spans="3:18" x14ac:dyDescent="0.25">
      <c r="C78" s="5" t="s">
        <v>69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</row>
    <row r="79" spans="3:18" x14ac:dyDescent="0.25">
      <c r="C79" s="5" t="s">
        <v>70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</row>
    <row r="80" spans="3:18" x14ac:dyDescent="0.25">
      <c r="C80" s="3" t="s">
        <v>71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 spans="3:18" x14ac:dyDescent="0.25">
      <c r="C81" s="5" t="s">
        <v>72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</row>
    <row r="82" spans="3:18" x14ac:dyDescent="0.25">
      <c r="C82" s="5" t="s">
        <v>73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</row>
    <row r="83" spans="3:18" x14ac:dyDescent="0.25">
      <c r="C83" s="3" t="s">
        <v>74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</row>
    <row r="84" spans="3:18" x14ac:dyDescent="0.25">
      <c r="C84" s="5" t="s">
        <v>75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</row>
    <row r="85" spans="3:18" x14ac:dyDescent="0.25">
      <c r="C85" s="9" t="s">
        <v>65</v>
      </c>
      <c r="D85" s="28">
        <f>D54+D38+D28+D18+D12</f>
        <v>329086705</v>
      </c>
      <c r="E85" s="28">
        <f>E54+E38+E28+E18+E12</f>
        <v>333467414.40999997</v>
      </c>
      <c r="F85" s="28">
        <f t="shared" ref="F85:R85" si="9">F54+F38+F28+F18+F12</f>
        <v>21115559.48</v>
      </c>
      <c r="G85" s="28">
        <f t="shared" si="9"/>
        <v>23527111.510000002</v>
      </c>
      <c r="H85" s="28">
        <f t="shared" si="9"/>
        <v>26609292.530000001</v>
      </c>
      <c r="I85" s="28">
        <f>I54+I38+I28+I18+I12</f>
        <v>33869000.619999997</v>
      </c>
      <c r="J85" s="28">
        <f t="shared" si="9"/>
        <v>22760804.329999998</v>
      </c>
      <c r="K85" s="28">
        <f t="shared" si="9"/>
        <v>29618918.339999996</v>
      </c>
      <c r="L85" s="28">
        <f t="shared" si="9"/>
        <v>0</v>
      </c>
      <c r="M85" s="28">
        <f t="shared" si="9"/>
        <v>0</v>
      </c>
      <c r="N85" s="28">
        <f t="shared" si="9"/>
        <v>0</v>
      </c>
      <c r="O85" s="28">
        <f t="shared" si="9"/>
        <v>0</v>
      </c>
      <c r="P85" s="28">
        <f t="shared" si="9"/>
        <v>0</v>
      </c>
      <c r="Q85" s="28">
        <f t="shared" si="9"/>
        <v>0</v>
      </c>
      <c r="R85" s="28">
        <f t="shared" si="9"/>
        <v>157500686.81</v>
      </c>
    </row>
    <row r="86" spans="3:18" x14ac:dyDescent="0.25">
      <c r="C86" s="38" t="s">
        <v>111</v>
      </c>
      <c r="D86" s="39"/>
    </row>
    <row r="88" spans="3:18" ht="15.75" thickBot="1" x14ac:dyDescent="0.3"/>
    <row r="89" spans="3:18" ht="30.75" thickBot="1" x14ac:dyDescent="0.3">
      <c r="C89" s="20" t="s">
        <v>95</v>
      </c>
      <c r="D89" s="41"/>
    </row>
    <row r="90" spans="3:18" ht="30.75" thickBot="1" x14ac:dyDescent="0.3">
      <c r="C90" s="20" t="s">
        <v>96</v>
      </c>
    </row>
    <row r="91" spans="3:18" ht="60.75" thickBot="1" x14ac:dyDescent="0.3">
      <c r="C91" s="21" t="s">
        <v>97</v>
      </c>
    </row>
    <row r="93" spans="3:18" ht="36" customHeight="1" x14ac:dyDescent="0.25"/>
    <row r="94" spans="3:18" ht="18.75" x14ac:dyDescent="0.3">
      <c r="C94" s="31"/>
      <c r="D94" s="31" t="s">
        <v>101</v>
      </c>
      <c r="E94" s="30"/>
      <c r="F94" s="30"/>
      <c r="G94" s="30"/>
      <c r="H94" s="31" t="s">
        <v>102</v>
      </c>
      <c r="J94" s="32"/>
      <c r="L94" s="33"/>
      <c r="M94" s="30"/>
    </row>
    <row r="95" spans="3:18" ht="18.75" x14ac:dyDescent="0.3">
      <c r="C95" s="34"/>
      <c r="D95" s="34" t="s">
        <v>103</v>
      </c>
      <c r="E95" s="32"/>
      <c r="F95" s="30"/>
      <c r="G95" s="30"/>
      <c r="H95" s="34" t="s">
        <v>103</v>
      </c>
      <c r="J95" s="34"/>
      <c r="K95" s="30"/>
      <c r="L95" s="30"/>
      <c r="M95" s="30"/>
    </row>
    <row r="96" spans="3:18" ht="18.75" x14ac:dyDescent="0.3">
      <c r="C96" s="32"/>
      <c r="D96" s="32" t="s">
        <v>104</v>
      </c>
      <c r="E96" s="32"/>
      <c r="F96" s="30"/>
      <c r="G96" s="30"/>
      <c r="H96" s="32" t="s">
        <v>105</v>
      </c>
      <c r="I96" s="42" t="s">
        <v>112</v>
      </c>
      <c r="J96" s="42"/>
      <c r="K96" s="42"/>
      <c r="L96" s="42"/>
      <c r="M96" s="30"/>
    </row>
    <row r="97" spans="3:13" ht="18.75" x14ac:dyDescent="0.3">
      <c r="C97" s="32"/>
      <c r="D97" s="32" t="s">
        <v>106</v>
      </c>
      <c r="E97" s="32"/>
      <c r="F97" s="30"/>
      <c r="G97" s="30"/>
      <c r="H97" s="32" t="s">
        <v>107</v>
      </c>
      <c r="J97" s="32"/>
      <c r="K97" s="30"/>
      <c r="L97" s="30"/>
      <c r="M97" s="30"/>
    </row>
    <row r="98" spans="3:13" ht="18.75" x14ac:dyDescent="0.3">
      <c r="F98" s="30"/>
      <c r="G98" s="30"/>
      <c r="H98" s="30"/>
      <c r="J98" s="30"/>
      <c r="K98" s="30"/>
      <c r="L98" s="30"/>
      <c r="M98" s="30"/>
    </row>
    <row r="99" spans="3:13" ht="18.75" x14ac:dyDescent="0.25">
      <c r="D99" s="32"/>
    </row>
  </sheetData>
  <mergeCells count="10">
    <mergeCell ref="I96:L96"/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opLeftCell="A70" zoomScaleNormal="100" workbookViewId="0">
      <selection activeCell="N83" sqref="N83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47" t="s">
        <v>110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21" customHeight="1" x14ac:dyDescent="0.25">
      <c r="A3" s="49" t="s">
        <v>100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5" ht="15.75" x14ac:dyDescent="0.25">
      <c r="A4" s="54">
        <v>2026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1:15" ht="15.75" customHeight="1" x14ac:dyDescent="0.25">
      <c r="A5" s="56" t="s">
        <v>92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5" ht="15.75" customHeight="1" x14ac:dyDescent="0.25">
      <c r="A6" s="43" t="s">
        <v>77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16468246.950000001</v>
      </c>
      <c r="C10" s="25">
        <f t="shared" ref="C10:M10" si="0">C11+C12+C15</f>
        <v>17894777.140000001</v>
      </c>
      <c r="D10" s="25">
        <f t="shared" si="0"/>
        <v>17140657.43</v>
      </c>
      <c r="E10" s="25">
        <f t="shared" si="0"/>
        <v>28782888.059999999</v>
      </c>
      <c r="F10" s="25">
        <f t="shared" si="0"/>
        <v>16753187.51</v>
      </c>
      <c r="G10" s="25">
        <f t="shared" si="0"/>
        <v>17567383.010000002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114607140.10000001</v>
      </c>
    </row>
    <row r="11" spans="1:15" ht="17.25" customHeight="1" x14ac:dyDescent="0.25">
      <c r="A11" s="5" t="s">
        <v>2</v>
      </c>
      <c r="B11" s="24">
        <v>14362311.720000001</v>
      </c>
      <c r="C11" s="24">
        <v>15340960.15</v>
      </c>
      <c r="D11" s="24">
        <v>14810559.210000001</v>
      </c>
      <c r="E11" s="24">
        <v>26439393.219999999</v>
      </c>
      <c r="F11" s="24">
        <f>13491624.36+160000+85000+608000</f>
        <v>14344624.359999999</v>
      </c>
      <c r="G11" s="24">
        <v>14957073.630000001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100254922.28999999</v>
      </c>
    </row>
    <row r="12" spans="1:15" ht="17.25" customHeight="1" x14ac:dyDescent="0.25">
      <c r="A12" s="5" t="s">
        <v>3</v>
      </c>
      <c r="B12" s="24">
        <v>333500</v>
      </c>
      <c r="C12" s="24">
        <v>333500</v>
      </c>
      <c r="D12" s="24">
        <v>333500</v>
      </c>
      <c r="E12" s="24">
        <v>333500</v>
      </c>
      <c r="F12" s="24">
        <v>333500</v>
      </c>
      <c r="G12" s="24">
        <v>475500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2143000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1772435.23</v>
      </c>
      <c r="C15" s="24">
        <v>2220316.9900000002</v>
      </c>
      <c r="D15" s="24">
        <v>1996598.22</v>
      </c>
      <c r="E15" s="24">
        <v>2009994.84</v>
      </c>
      <c r="F15" s="24">
        <v>2075063.15</v>
      </c>
      <c r="G15" s="24">
        <v>2134809.38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12209217.809999999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4195312.5299999993</v>
      </c>
      <c r="C16" s="25">
        <f t="shared" si="1"/>
        <v>5136944.09</v>
      </c>
      <c r="D16" s="25">
        <f t="shared" si="1"/>
        <v>8706612.4900000002</v>
      </c>
      <c r="E16" s="25">
        <f>E17+E18+E19+E20+E21+E22+E23+E24+E25</f>
        <v>4273732.0500000007</v>
      </c>
      <c r="F16" s="25">
        <f t="shared" si="1"/>
        <v>5408974.8200000003</v>
      </c>
      <c r="G16" s="25">
        <f>G17+G18+G19+G20+G21+G22+G23+G24+G25</f>
        <v>11222477.609999999</v>
      </c>
      <c r="H16" s="25">
        <f t="shared" si="1"/>
        <v>0</v>
      </c>
      <c r="I16" s="25">
        <f t="shared" si="1"/>
        <v>0</v>
      </c>
      <c r="J16" s="25">
        <f>J17+J18+J19+J20+J21+J22+J23+J24+J25</f>
        <v>0</v>
      </c>
      <c r="K16" s="25">
        <f t="shared" ref="K16" si="2">K17+K18+K19+K20+K21+K22+K23+K24</f>
        <v>0</v>
      </c>
      <c r="L16" s="25">
        <f>L17+L18+L19+L20+L21+L22+L23+L24+L25</f>
        <v>0</v>
      </c>
      <c r="M16" s="25">
        <f>M17+M18+M19+M20+M21+M22+M23+M24+M25</f>
        <v>0</v>
      </c>
      <c r="N16" s="25">
        <f>N17+N18+N19+N20+N21+N22+N23+N24+N25</f>
        <v>38944053.589999996</v>
      </c>
    </row>
    <row r="17" spans="1:14" ht="17.25" customHeight="1" x14ac:dyDescent="0.25">
      <c r="A17" s="5" t="s">
        <v>8</v>
      </c>
      <c r="B17" s="24">
        <v>3280602.32</v>
      </c>
      <c r="C17" s="24">
        <v>2105654.46</v>
      </c>
      <c r="D17" s="24">
        <v>2390342.66</v>
      </c>
      <c r="E17" s="24">
        <v>2192805.87</v>
      </c>
      <c r="F17" s="24">
        <f>425416.47+164525.46+814484.77+454496.9+3094+2500</f>
        <v>1864517.6</v>
      </c>
      <c r="G17" s="24">
        <v>2192056.7200000002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14025979.629999999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3">SUM(B18:M18)</f>
        <v>0</v>
      </c>
    </row>
    <row r="19" spans="1:14" ht="17.25" customHeight="1" x14ac:dyDescent="0.25">
      <c r="A19" s="5" t="s">
        <v>10</v>
      </c>
      <c r="B19" s="24">
        <v>23335</v>
      </c>
      <c r="C19" s="24">
        <v>1380385</v>
      </c>
      <c r="D19" s="24">
        <v>2238100</v>
      </c>
      <c r="E19" s="24">
        <v>258797.5</v>
      </c>
      <c r="F19" s="24">
        <v>178047.5</v>
      </c>
      <c r="G19" s="24">
        <v>214919.9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3"/>
        <v>4293584.9000000004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3"/>
        <v>0</v>
      </c>
    </row>
    <row r="21" spans="1:14" ht="17.25" customHeight="1" x14ac:dyDescent="0.25">
      <c r="A21" s="5" t="s">
        <v>12</v>
      </c>
      <c r="B21" s="24">
        <v>81184</v>
      </c>
      <c r="C21" s="24">
        <v>0</v>
      </c>
      <c r="D21" s="24">
        <v>1053902.8400000001</v>
      </c>
      <c r="E21" s="24">
        <v>212566.88</v>
      </c>
      <c r="F21" s="24">
        <f>81184+23000</f>
        <v>104184</v>
      </c>
      <c r="G21" s="24">
        <v>7728143.3899999997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3"/>
        <v>9179981.1099999994</v>
      </c>
    </row>
    <row r="22" spans="1:14" ht="17.25" customHeight="1" x14ac:dyDescent="0.25">
      <c r="A22" s="5" t="s">
        <v>13</v>
      </c>
      <c r="B22" s="24">
        <v>660239.43999999994</v>
      </c>
      <c r="C22" s="24">
        <v>1366288.89</v>
      </c>
      <c r="D22" s="24">
        <v>953165.64</v>
      </c>
      <c r="E22" s="24">
        <v>1258235.25</v>
      </c>
      <c r="F22" s="24">
        <v>1392878.65</v>
      </c>
      <c r="G22" s="24">
        <v>684422.25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3"/>
        <v>6315230.1199999992</v>
      </c>
    </row>
    <row r="23" spans="1:14" ht="27" customHeight="1" x14ac:dyDescent="0.25">
      <c r="A23" s="29" t="s">
        <v>14</v>
      </c>
      <c r="B23" s="24">
        <v>0</v>
      </c>
      <c r="C23" s="24">
        <v>81793.66</v>
      </c>
      <c r="D23" s="24">
        <v>159418</v>
      </c>
      <c r="E23" s="24">
        <v>25299.200000000001</v>
      </c>
      <c r="F23" s="24">
        <f>603254.73+931282.17+41300</f>
        <v>1575836.9</v>
      </c>
      <c r="G23" s="24">
        <v>41300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3"/>
        <v>1883647.7599999998</v>
      </c>
    </row>
    <row r="24" spans="1:14" ht="17.25" customHeight="1" x14ac:dyDescent="0.25">
      <c r="A24" s="5" t="s">
        <v>15</v>
      </c>
      <c r="B24" s="24">
        <v>16000</v>
      </c>
      <c r="C24" s="24">
        <v>110370.5</v>
      </c>
      <c r="D24" s="24">
        <v>1079230.3</v>
      </c>
      <c r="E24" s="24">
        <v>295759.12</v>
      </c>
      <c r="F24" s="24">
        <f>58969.5+16000+50000</f>
        <v>124969.5</v>
      </c>
      <c r="G24" s="24">
        <v>57064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1683393.42</v>
      </c>
    </row>
    <row r="25" spans="1:14" ht="17.25" customHeight="1" x14ac:dyDescent="0.25">
      <c r="A25" s="5" t="s">
        <v>16</v>
      </c>
      <c r="B25" s="24">
        <v>133951.76999999999</v>
      </c>
      <c r="C25" s="24">
        <v>92451.58</v>
      </c>
      <c r="D25" s="24">
        <v>832453.05</v>
      </c>
      <c r="E25" s="24">
        <v>30268.23</v>
      </c>
      <c r="F25" s="24">
        <v>168540.67</v>
      </c>
      <c r="G25" s="24">
        <v>304571.34999999998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1562236.65</v>
      </c>
    </row>
    <row r="26" spans="1:14" ht="17.25" customHeight="1" x14ac:dyDescent="0.25">
      <c r="A26" s="3" t="s">
        <v>17</v>
      </c>
      <c r="B26" s="25">
        <f>B27+B28+B29+B30+B31+B32+B33</f>
        <v>452000</v>
      </c>
      <c r="C26" s="25">
        <f>C27+C28+C29+C30+C31+C32+C33+C35</f>
        <v>495390.28</v>
      </c>
      <c r="D26" s="25">
        <f>D27+D28+D29+D30+D31+D32+D33+D35</f>
        <v>683323.69</v>
      </c>
      <c r="E26" s="25">
        <f>E27+E28+E29+E30+E31+E32+E35+E33</f>
        <v>792380.51</v>
      </c>
      <c r="F26" s="25">
        <f t="shared" ref="F26:N26" si="4">F27+F28+F29+F30+F31+F32+F33+F35</f>
        <v>548610</v>
      </c>
      <c r="G26" s="25">
        <f t="shared" si="4"/>
        <v>829057.72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3800762.1999999997</v>
      </c>
    </row>
    <row r="27" spans="1:14" ht="17.25" customHeight="1" x14ac:dyDescent="0.25">
      <c r="A27" s="5" t="s">
        <v>18</v>
      </c>
      <c r="B27" s="24">
        <v>0</v>
      </c>
      <c r="C27" s="24">
        <v>29480</v>
      </c>
      <c r="D27" s="24">
        <v>15420</v>
      </c>
      <c r="E27" s="24">
        <v>248319.51</v>
      </c>
      <c r="F27" s="24">
        <v>9360</v>
      </c>
      <c r="G27" s="24">
        <v>38259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5">SUM(B27:M27)</f>
        <v>340838.51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5"/>
        <v>0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17552.5</v>
      </c>
      <c r="E29" s="24">
        <v>11853.1</v>
      </c>
      <c r="F29" s="24">
        <v>0</v>
      </c>
      <c r="G29" s="24">
        <v>90010.4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5"/>
        <v>119416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5"/>
        <v>0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9544.77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5"/>
        <v>9544.77</v>
      </c>
    </row>
    <row r="33" spans="1:14" ht="17.25" customHeight="1" x14ac:dyDescent="0.25">
      <c r="A33" s="5" t="s">
        <v>24</v>
      </c>
      <c r="B33" s="24">
        <v>452000</v>
      </c>
      <c r="C33" s="24">
        <v>442000</v>
      </c>
      <c r="D33" s="24">
        <v>594925.61</v>
      </c>
      <c r="E33" s="24">
        <v>501149</v>
      </c>
      <c r="F33" s="24">
        <v>524500</v>
      </c>
      <c r="G33" s="24">
        <v>535500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5"/>
        <v>3050074.61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23910.28</v>
      </c>
      <c r="D35" s="24">
        <v>45880.81</v>
      </c>
      <c r="E35" s="24">
        <v>31058.9</v>
      </c>
      <c r="F35" s="24">
        <v>14750</v>
      </c>
      <c r="G35" s="24">
        <v>165288.32000000001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5"/>
        <v>280888.31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0</v>
      </c>
      <c r="E36" s="25">
        <f t="shared" si="6"/>
        <v>20000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20000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0</v>
      </c>
      <c r="E37" s="24">
        <v>20000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20000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D53+D60+D57</f>
        <v>78698.92</v>
      </c>
      <c r="E52" s="25">
        <f>E53+E57+E60</f>
        <v>0</v>
      </c>
      <c r="F52" s="25">
        <f>F54+F53+F58</f>
        <v>50032</v>
      </c>
      <c r="G52" s="25">
        <f>G54+G53+G56+G57</f>
        <v>0</v>
      </c>
      <c r="H52" s="25">
        <f>H53+H57</f>
        <v>0</v>
      </c>
      <c r="I52" s="25">
        <f>I53+I57</f>
        <v>0</v>
      </c>
      <c r="J52" s="25">
        <f>J53+J54</f>
        <v>0</v>
      </c>
      <c r="K52" s="25">
        <f>K53</f>
        <v>0</v>
      </c>
      <c r="L52" s="25">
        <f>L53+L57</f>
        <v>0</v>
      </c>
      <c r="M52" s="25">
        <f>M53+M54+M57</f>
        <v>0</v>
      </c>
      <c r="N52" s="25">
        <f t="shared" ref="N52:N57" si="8">SUM(B52:M52)</f>
        <v>128730.92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 t="shared" si="8"/>
        <v>0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8"/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78698.92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 t="shared" si="8"/>
        <v>78698.92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50032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50032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B10+B16+B52+B26</f>
        <v>21115559.48</v>
      </c>
      <c r="C83" s="26">
        <f>C52+C16+C10+C26</f>
        <v>23527111.510000002</v>
      </c>
      <c r="D83" s="26">
        <f>D52+D16+D10+D26+D36</f>
        <v>26609292.530000001</v>
      </c>
      <c r="E83" s="26">
        <f>E52+E16+E10+E26+E36</f>
        <v>33869000.619999997</v>
      </c>
      <c r="F83" s="26">
        <f>F52+F16+F10+F26</f>
        <v>22760804.329999998</v>
      </c>
      <c r="G83" s="26">
        <f>G52+G16+G10+G26</f>
        <v>29618918.34</v>
      </c>
      <c r="H83" s="26">
        <f>H52+H16+H10+H26</f>
        <v>0</v>
      </c>
      <c r="I83" s="26">
        <f>I52+I26+I16+I10</f>
        <v>0</v>
      </c>
      <c r="J83" s="26">
        <f>J52+J26+J16+J10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157500686.81</v>
      </c>
    </row>
    <row r="84" spans="1:14" x14ac:dyDescent="0.25">
      <c r="A84" s="38" t="s">
        <v>111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108</v>
      </c>
      <c r="F88" s="36"/>
      <c r="G88" s="40" t="s">
        <v>112</v>
      </c>
      <c r="H88" s="36"/>
      <c r="I88" s="36"/>
      <c r="J88" s="30"/>
    </row>
    <row r="89" spans="1:14" ht="18.75" x14ac:dyDescent="0.3">
      <c r="A89" s="32" t="s">
        <v>106</v>
      </c>
      <c r="B89" s="32"/>
      <c r="C89" s="30"/>
      <c r="D89" s="30"/>
      <c r="E89" s="32" t="s">
        <v>109</v>
      </c>
      <c r="G89" s="32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15748031496062992" bottom="0.19685039370078741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2026-07-01T15:36:01Z</cp:lastPrinted>
  <dcterms:created xsi:type="dcterms:W3CDTF">2021-07-29T18:58:50Z</dcterms:created>
  <dcterms:modified xsi:type="dcterms:W3CDTF">2026-07-07T13:38:34Z</dcterms:modified>
</cp:coreProperties>
</file>