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6\"/>
    </mc:Choice>
  </mc:AlternateContent>
  <xr:revisionPtr revIDLastSave="0" documentId="8_{EEA1C532-F849-4D04-A4E4-E75FFD25FA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" i="2" l="1"/>
  <c r="L52" i="3"/>
  <c r="P30" i="2"/>
  <c r="P25" i="2"/>
  <c r="P23" i="2"/>
  <c r="P19" i="2"/>
  <c r="P17" i="2"/>
  <c r="O18" i="2"/>
  <c r="O55" i="2"/>
  <c r="O37" i="2"/>
  <c r="O27" i="2"/>
  <c r="O26" i="2"/>
  <c r="O25" i="2"/>
  <c r="O23" i="2"/>
  <c r="O21" i="2"/>
  <c r="O19" i="2"/>
  <c r="O13" i="2"/>
  <c r="O17" i="2"/>
  <c r="N37" i="2"/>
  <c r="N35" i="2"/>
  <c r="N34" i="2"/>
  <c r="N33" i="2"/>
  <c r="N26" i="2"/>
  <c r="N25" i="2"/>
  <c r="N24" i="2"/>
  <c r="N23" i="2"/>
  <c r="N22" i="2"/>
  <c r="N19" i="2"/>
  <c r="N13" i="2"/>
  <c r="N17" i="2"/>
  <c r="I52" i="3"/>
  <c r="M37" i="2"/>
  <c r="M35" i="2"/>
  <c r="M34" i="2"/>
  <c r="M26" i="2"/>
  <c r="M25" i="2"/>
  <c r="M23" i="2"/>
  <c r="M19" i="2"/>
  <c r="M13" i="2"/>
  <c r="M17" i="2"/>
  <c r="K27" i="2"/>
  <c r="L37" i="2"/>
  <c r="L26" i="2"/>
  <c r="L23" i="2"/>
  <c r="L19" i="2"/>
  <c r="L17" i="2"/>
  <c r="K37" i="2"/>
  <c r="K35" i="2"/>
  <c r="K34" i="2"/>
  <c r="K23" i="2"/>
  <c r="K19" i="2"/>
  <c r="K13" i="2"/>
  <c r="K17" i="2"/>
  <c r="J37" i="2" l="1"/>
  <c r="J35" i="2"/>
  <c r="J34" i="2"/>
  <c r="J23" i="2"/>
  <c r="J18" i="2" s="1"/>
  <c r="J26" i="2"/>
  <c r="J24" i="2"/>
  <c r="J19" i="2"/>
  <c r="J13" i="2"/>
  <c r="J17" i="2"/>
  <c r="E16" i="3"/>
  <c r="E21" i="3"/>
  <c r="I37" i="2" l="1"/>
  <c r="I26" i="2"/>
  <c r="I24" i="2"/>
  <c r="I19" i="2"/>
  <c r="I17" i="2"/>
  <c r="R62" i="2" l="1"/>
  <c r="H54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G26" i="2"/>
  <c r="G19" i="2" l="1"/>
  <c r="G17" i="2"/>
  <c r="G13" i="2"/>
  <c r="F19" i="2"/>
  <c r="F13" i="2"/>
  <c r="F17" i="2"/>
  <c r="E54" i="1"/>
  <c r="L16" i="3" l="1"/>
  <c r="N55" i="3"/>
  <c r="N61" i="3"/>
  <c r="N60" i="3"/>
  <c r="N59" i="3"/>
  <c r="N58" i="3"/>
  <c r="P54" i="2"/>
  <c r="P18" i="2"/>
  <c r="J52" i="3"/>
  <c r="J26" i="3"/>
  <c r="J16" i="3"/>
  <c r="N54" i="2"/>
  <c r="N18" i="2"/>
  <c r="E54" i="2"/>
  <c r="G16" i="3"/>
  <c r="G52" i="3"/>
  <c r="K18" i="2"/>
  <c r="G26" i="3" l="1"/>
  <c r="F26" i="3"/>
  <c r="F52" i="3"/>
  <c r="F16" i="3"/>
  <c r="J54" i="2"/>
  <c r="R39" i="2"/>
  <c r="E26" i="3"/>
  <c r="I18" i="2" l="1"/>
  <c r="G18" i="2"/>
  <c r="E18" i="1" l="1"/>
  <c r="H18" i="2"/>
  <c r="N37" i="3" l="1"/>
  <c r="D16" i="3"/>
  <c r="B16" i="3" l="1"/>
  <c r="D12" i="2"/>
  <c r="F18" i="2"/>
  <c r="C16" i="3"/>
  <c r="D28" i="1"/>
  <c r="D12" i="1"/>
  <c r="M16" i="3"/>
  <c r="M26" i="3"/>
  <c r="M52" i="3"/>
  <c r="Q18" i="2"/>
  <c r="K26" i="3"/>
  <c r="R36" i="2"/>
  <c r="R59" i="2"/>
  <c r="R58" i="2"/>
  <c r="R57" i="2"/>
  <c r="H16" i="3" l="1"/>
  <c r="H52" i="3"/>
  <c r="H26" i="3"/>
  <c r="L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D18" i="2"/>
  <c r="D18" i="1" l="1"/>
  <c r="M10" i="3"/>
  <c r="Q54" i="2"/>
  <c r="E38" i="2"/>
  <c r="E18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R56" i="2"/>
  <c r="R55" i="2"/>
  <c r="O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E12" i="2"/>
  <c r="E85" i="2" l="1"/>
  <c r="R12" i="2"/>
  <c r="K83" i="3"/>
  <c r="E83" i="3"/>
  <c r="C83" i="3"/>
  <c r="B83" i="3"/>
  <c r="M83" i="3"/>
  <c r="L83" i="3"/>
  <c r="D85" i="2"/>
  <c r="R54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D54" i="1"/>
  <c r="E38" i="1"/>
  <c r="D38" i="1"/>
  <c r="E28" i="1"/>
  <c r="E12" i="1"/>
  <c r="E85" i="1" l="1"/>
  <c r="N83" i="3"/>
  <c r="D85" i="1"/>
  <c r="R85" i="2"/>
</calcChain>
</file>

<file path=xl/sharedStrings.xml><?xml version="1.0" encoding="utf-8"?>
<sst xmlns="http://schemas.openxmlformats.org/spreadsheetml/2006/main" count="294" uniqueCount="113">
  <si>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</si>
  <si>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</si>
  <si>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</si>
  <si>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</si>
  <si>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</si>
  <si>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</si>
  <si>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</si>
  <si>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</si>
  <si>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</si>
  <si>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</si>
  <si>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</si>
  <si>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</si>
  <si>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</si>
  <si>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</si>
  <si>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</si>
  <si>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</si>
  <si>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</si>
  <si>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</si>
  <si>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</si>
  <si>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</si>
  <si>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</si>
  <si>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</si>
  <si>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</si>
  <si>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</si>
  <si>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</si>
  <si>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</si>
  <si>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</si>
  <si>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</si>
  <si>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</si>
  <si>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</si>
  <si>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</si>
  <si>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</si>
  <si>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</si>
  <si>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</si>
  <si>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</si>
  <si>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</si>
  <si>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</si>
  <si>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</si>
  <si>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</si>
  <si>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</si>
  <si>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</si>
  <si>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</si>
  <si>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</si>
  <si>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</si>
  <si>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</si>
  <si>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</si>
  <si>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</si>
  <si>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</si>
  <si>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</si>
  <si>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</si>
  <si>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</si>
  <si>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</si>
  <si>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</si>
  <si>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</si>
  <si>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</si>
  <si>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</si>
  <si>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</si>
  <si>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</si>
  <si>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</si>
  <si>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</si>
  <si>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</si>
  <si>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</si>
  <si>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</si>
  <si>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</si>
  <si>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</si>
  <si>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</si>
  <si>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</si>
  <si>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</si>
  <si>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</si>
  <si>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</si>
  <si>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</si>
  <si>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</si>
  <si>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</si>
  <si>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</si>
  <si>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</si>
  <si>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</si>
  <si>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</si>
  <si>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</si>
  <si>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</si>
  <si>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</si>
  <si>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</si>
  <si>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</si>
  <si>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</si>
  <si>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</si>
  <si>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</si>
  <si>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</si>
  <si>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</si>
  <si>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</si>
  <si>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</si>
  <si>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</si>
  <si>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</si>
  <si>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</si>
  <si>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</si>
  <si>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</si>
  <si>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</si>
  <si>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</si>
  <si>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</si>
  <si>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</si>
  <si>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</si>
  <si>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</si>
  <si>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</si>
  <si>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</si>
  <si>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</si>
  <si>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</si>
  <si>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</si>
  <si>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</si>
  <si>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</si>
  <si>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</si>
  <si>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</si>
  <si>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</si>
  <si>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</si>
  <si>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</si>
  <si>
    <t xml:space="preserve">Freidy Hinojosa Sánchez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</si>
</sst>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sz val="11"/>
      <color theme="0"/>
      <name val="Calibri"/>
      <family val="2"/>
      <scheme val="minor"/>
    </font>
    <font>
      <b/>
      <i/>
      <sz val="11"/>
      <color theme="0"/>
      <name val="Gotham"/>
    </font>
    <font>
      <b/>
      <sz val="11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600076</xdr:colOff>
      <xdr:row>1</xdr:row>
      <xdr:rowOff>104775</xdr:rowOff>
    </xdr:from>
    <xdr:to>
      <xdr:col>17</xdr:col>
      <xdr:colOff>459262</xdr:colOff>
      <xdr:row>5</xdr:row>
      <xdr:rowOff>126000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6" y="29527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abSelected="1" workbookViewId="0">
      <selection activeCell="C79" sqref="C79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1" t="s">
        <v>110</v>
      </c>
      <c r="D3" s="41"/>
      <c r="E3" s="4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1" t="s">
        <v>98</v>
      </c>
      <c r="D4" s="41"/>
      <c r="E4" s="4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7">
        <v>2026</v>
      </c>
      <c r="D5" s="48"/>
      <c r="E5" s="48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2" t="s">
        <v>76</v>
      </c>
      <c r="D6" s="43"/>
      <c r="E6" s="4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2" t="s">
        <v>77</v>
      </c>
      <c r="D7" s="43"/>
      <c r="E7" s="4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8"/>
    </row>
    <row r="10" spans="2:16" ht="23.25" customHeight="1" x14ac:dyDescent="0.25">
      <c r="C10" s="44"/>
      <c r="D10" s="46"/>
      <c r="E10" s="46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233011100</v>
      </c>
      <c r="E12" s="4">
        <f>E13+E14+E17</f>
        <v>233011100</v>
      </c>
      <c r="F12" s="8"/>
    </row>
    <row r="13" spans="2:16" x14ac:dyDescent="0.25">
      <c r="C13" s="5" t="s">
        <v>2</v>
      </c>
      <c r="D13" s="6">
        <v>177394707</v>
      </c>
      <c r="E13" s="6">
        <v>177394707</v>
      </c>
      <c r="F13" s="8"/>
    </row>
    <row r="14" spans="2:16" x14ac:dyDescent="0.25">
      <c r="C14" s="5" t="s">
        <v>3</v>
      </c>
      <c r="D14" s="6">
        <v>30738762</v>
      </c>
      <c r="E14" s="6">
        <v>30738762</v>
      </c>
      <c r="F14" s="8"/>
    </row>
    <row r="15" spans="2:16" x14ac:dyDescent="0.25">
      <c r="C15" s="5" t="s">
        <v>4</v>
      </c>
      <c r="D15" s="6"/>
      <c r="E15" s="6"/>
      <c r="F15" s="8"/>
    </row>
    <row r="16" spans="2:16" x14ac:dyDescent="0.25">
      <c r="C16" s="5" t="s">
        <v>5</v>
      </c>
      <c r="D16" s="6"/>
      <c r="E16" s="6"/>
      <c r="F16" s="8"/>
    </row>
    <row r="17" spans="3:6" x14ac:dyDescent="0.25">
      <c r="C17" s="5" t="s">
        <v>6</v>
      </c>
      <c r="D17" s="6">
        <v>24877631</v>
      </c>
      <c r="E17" s="6">
        <v>24877631</v>
      </c>
      <c r="F17" s="8"/>
    </row>
    <row r="18" spans="3:6" x14ac:dyDescent="0.25">
      <c r="C18" s="3" t="s">
        <v>7</v>
      </c>
      <c r="D18" s="4">
        <f>D19+D20+D21+D22+D23+D24+D25+D26+D27</f>
        <v>83152099</v>
      </c>
      <c r="E18" s="4">
        <f>E19+E20+E21+E22+E23+E24+E25+E26+E27</f>
        <v>83152099</v>
      </c>
      <c r="F18" s="8"/>
    </row>
    <row r="19" spans="3:6" x14ac:dyDescent="0.25">
      <c r="C19" s="5" t="s">
        <v>8</v>
      </c>
      <c r="D19" s="6">
        <v>26752090</v>
      </c>
      <c r="E19" s="6">
        <v>26752090</v>
      </c>
      <c r="F19" s="8"/>
    </row>
    <row r="20" spans="3:6" x14ac:dyDescent="0.25">
      <c r="C20" s="5" t="s">
        <v>9</v>
      </c>
      <c r="D20" s="6">
        <v>104500</v>
      </c>
      <c r="E20" s="6">
        <v>104500</v>
      </c>
      <c r="F20" s="8"/>
    </row>
    <row r="21" spans="3:6" x14ac:dyDescent="0.25">
      <c r="C21" s="5" t="s">
        <v>10</v>
      </c>
      <c r="D21" s="6">
        <v>2036000</v>
      </c>
      <c r="E21" s="6">
        <v>2036000</v>
      </c>
      <c r="F21" s="8"/>
    </row>
    <row r="22" spans="3:6" x14ac:dyDescent="0.25">
      <c r="C22" s="5" t="s">
        <v>11</v>
      </c>
      <c r="D22" s="6">
        <v>219000</v>
      </c>
      <c r="E22" s="6">
        <v>219000</v>
      </c>
      <c r="F22" s="8"/>
    </row>
    <row r="23" spans="3:6" x14ac:dyDescent="0.25">
      <c r="C23" s="5" t="s">
        <v>12</v>
      </c>
      <c r="D23" s="6">
        <v>23260000</v>
      </c>
      <c r="E23" s="6">
        <v>23260000</v>
      </c>
    </row>
    <row r="24" spans="3:6" x14ac:dyDescent="0.25">
      <c r="C24" s="5" t="s">
        <v>13</v>
      </c>
      <c r="D24" s="6">
        <v>15692720</v>
      </c>
      <c r="E24" s="6">
        <v>15692720</v>
      </c>
    </row>
    <row r="25" spans="3:6" x14ac:dyDescent="0.25">
      <c r="C25" s="5" t="s">
        <v>14</v>
      </c>
      <c r="D25" s="6">
        <v>2671200</v>
      </c>
      <c r="E25" s="6">
        <v>2671200</v>
      </c>
    </row>
    <row r="26" spans="3:6" x14ac:dyDescent="0.25">
      <c r="C26" s="5" t="s">
        <v>15</v>
      </c>
      <c r="D26" s="6">
        <v>8218589</v>
      </c>
      <c r="E26" s="6">
        <v>8218589</v>
      </c>
    </row>
    <row r="27" spans="3:6" x14ac:dyDescent="0.25">
      <c r="C27" s="5" t="s">
        <v>16</v>
      </c>
      <c r="D27" s="6">
        <v>4198000</v>
      </c>
      <c r="E27" s="6">
        <v>4198000</v>
      </c>
    </row>
    <row r="28" spans="3:6" x14ac:dyDescent="0.25">
      <c r="C28" s="3" t="s">
        <v>17</v>
      </c>
      <c r="D28" s="4">
        <f>D29+D30+D31+D32+D33+D34+D35+D37</f>
        <v>12083506</v>
      </c>
      <c r="E28" s="4">
        <f>E29+E30+E31+E32+E33+E34+E35+E37</f>
        <v>12083506</v>
      </c>
    </row>
    <row r="29" spans="3:6" x14ac:dyDescent="0.25">
      <c r="C29" s="5" t="s">
        <v>18</v>
      </c>
      <c r="D29" s="6">
        <v>460000</v>
      </c>
      <c r="E29" s="6">
        <v>460000</v>
      </c>
    </row>
    <row r="30" spans="3:6" x14ac:dyDescent="0.25">
      <c r="C30" s="5" t="s">
        <v>19</v>
      </c>
      <c r="D30" s="6">
        <v>70000</v>
      </c>
      <c r="E30" s="6">
        <v>70000</v>
      </c>
    </row>
    <row r="31" spans="3:6" x14ac:dyDescent="0.25">
      <c r="C31" s="5" t="s">
        <v>20</v>
      </c>
      <c r="D31" s="6">
        <v>300000</v>
      </c>
      <c r="E31" s="6">
        <v>300000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1200000</v>
      </c>
      <c r="E33" s="6">
        <v>1200000</v>
      </c>
    </row>
    <row r="34" spans="3:5" x14ac:dyDescent="0.25">
      <c r="C34" s="5" t="s">
        <v>23</v>
      </c>
      <c r="D34" s="6">
        <v>200000</v>
      </c>
      <c r="E34" s="6">
        <v>200000</v>
      </c>
    </row>
    <row r="35" spans="3:5" x14ac:dyDescent="0.25">
      <c r="C35" s="5" t="s">
        <v>24</v>
      </c>
      <c r="D35" s="6">
        <v>9140000</v>
      </c>
      <c r="E35" s="6">
        <v>9140000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713506</v>
      </c>
      <c r="E37" s="6">
        <v>713506</v>
      </c>
    </row>
    <row r="38" spans="3:5" x14ac:dyDescent="0.25">
      <c r="C38" s="3" t="s">
        <v>27</v>
      </c>
      <c r="D38" s="4">
        <f>D39</f>
        <v>40000</v>
      </c>
      <c r="E38" s="4">
        <f>E39</f>
        <v>40000</v>
      </c>
    </row>
    <row r="39" spans="3:5" x14ac:dyDescent="0.25">
      <c r="C39" s="5" t="s">
        <v>28</v>
      </c>
      <c r="D39" s="6">
        <v>40000</v>
      </c>
      <c r="E39" s="6">
        <v>40000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800000</v>
      </c>
      <c r="E54" s="4">
        <f>E55+E58+E59+E56+E62</f>
        <v>800000</v>
      </c>
    </row>
    <row r="55" spans="3:5" x14ac:dyDescent="0.25">
      <c r="C55" s="5" t="s">
        <v>44</v>
      </c>
      <c r="D55" s="6">
        <v>550000</v>
      </c>
      <c r="E55" s="6">
        <v>550000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250000</v>
      </c>
      <c r="E59" s="6">
        <v>250000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329086705</v>
      </c>
      <c r="E85" s="23">
        <f>E54+E38+E28+E18+E12</f>
        <v>329086705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C8" workbookViewId="0">
      <selection activeCell="Q90" sqref="Q90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customWidth="1"/>
    <col min="17" max="17" width="13.42578125" customWidth="1"/>
    <col min="18" max="18" width="15.5703125" customWidth="1"/>
  </cols>
  <sheetData>
    <row r="3" spans="3:19" ht="28.5" customHeight="1" x14ac:dyDescent="0.25">
      <c r="C3" s="53" t="s">
        <v>110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3:19" ht="21" customHeight="1" x14ac:dyDescent="0.25">
      <c r="C4" s="55" t="s">
        <v>99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3:19" ht="15.75" x14ac:dyDescent="0.25">
      <c r="C5" s="47">
        <v>2025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50" t="s">
        <v>91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</row>
    <row r="10" spans="3:19" x14ac:dyDescent="0.25">
      <c r="C10" s="44"/>
      <c r="D10" s="46"/>
      <c r="E10" s="46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217601998</v>
      </c>
      <c r="E12" s="25">
        <f>E13+E14+E17</f>
        <v>223601998</v>
      </c>
      <c r="F12" s="25">
        <f t="shared" ref="F12:Q12" si="0">F13+F14+F17</f>
        <v>14442586.75</v>
      </c>
      <c r="G12" s="25">
        <f t="shared" si="0"/>
        <v>14350642.969999999</v>
      </c>
      <c r="H12" s="25">
        <f t="shared" si="0"/>
        <v>16190801.01</v>
      </c>
      <c r="I12" s="25">
        <f t="shared" si="0"/>
        <v>27027152.419999998</v>
      </c>
      <c r="J12" s="25">
        <f t="shared" si="0"/>
        <v>14161002.27</v>
      </c>
      <c r="K12" s="25">
        <f t="shared" si="0"/>
        <v>14633628.659999998</v>
      </c>
      <c r="L12" s="25">
        <f t="shared" si="0"/>
        <v>14487741.35</v>
      </c>
      <c r="M12" s="25">
        <f t="shared" si="0"/>
        <v>14606610.34</v>
      </c>
      <c r="N12" s="25">
        <f t="shared" si="0"/>
        <v>14413861.949999999</v>
      </c>
      <c r="O12" s="25">
        <f t="shared" si="0"/>
        <v>26646651.669999998</v>
      </c>
      <c r="P12" s="25">
        <f t="shared" si="0"/>
        <v>26615943.260000002</v>
      </c>
      <c r="Q12" s="25">
        <f t="shared" si="0"/>
        <v>26135596.670000002</v>
      </c>
      <c r="R12" s="25">
        <f>SUM(F12:Q12)</f>
        <v>223712219.31999993</v>
      </c>
    </row>
    <row r="13" spans="3:19" x14ac:dyDescent="0.25">
      <c r="C13" s="5" t="s">
        <v>2</v>
      </c>
      <c r="D13" s="24">
        <v>166834000</v>
      </c>
      <c r="E13" s="24">
        <v>161938725.66999999</v>
      </c>
      <c r="F13" s="24">
        <f>12263814.61+22000</f>
        <v>12285814.609999999</v>
      </c>
      <c r="G13" s="24">
        <f>12196731.28+9333.33</f>
        <v>12206064.609999999</v>
      </c>
      <c r="H13" s="24">
        <v>14036483.119999999</v>
      </c>
      <c r="I13" s="24">
        <v>24873991.829999998</v>
      </c>
      <c r="J13" s="24">
        <f>11968631.28+20000+29072.45</f>
        <v>12017703.729999999</v>
      </c>
      <c r="K13" s="24">
        <f>12006464.61+20000+18515+439840.79</f>
        <v>12484820.399999999</v>
      </c>
      <c r="L13" s="24">
        <v>12323850.119999999</v>
      </c>
      <c r="M13" s="24">
        <f>12234664.61+192000</f>
        <v>12426664.609999999</v>
      </c>
      <c r="N13" s="24">
        <f>11789664.61+510844.49</f>
        <v>12300509.1</v>
      </c>
      <c r="O13" s="24">
        <f>11886664.61+84000+406091.38+12142572.84</f>
        <v>24519328.829999998</v>
      </c>
      <c r="P13" s="24">
        <v>24565564.300000001</v>
      </c>
      <c r="Q13" s="24">
        <v>24024937.16</v>
      </c>
      <c r="R13" s="24">
        <f>SUM(F13:Q13)</f>
        <v>198065732.41999999</v>
      </c>
    </row>
    <row r="14" spans="3:19" x14ac:dyDescent="0.25">
      <c r="C14" s="5" t="s">
        <v>3</v>
      </c>
      <c r="D14" s="24">
        <v>28302000</v>
      </c>
      <c r="E14" s="24">
        <v>39931733.909999996</v>
      </c>
      <c r="F14" s="24">
        <v>309500</v>
      </c>
      <c r="G14" s="24">
        <v>309500</v>
      </c>
      <c r="H14" s="24">
        <v>333500</v>
      </c>
      <c r="I14" s="24">
        <v>333500</v>
      </c>
      <c r="J14" s="24">
        <v>333500</v>
      </c>
      <c r="K14" s="24">
        <v>333500</v>
      </c>
      <c r="L14" s="24">
        <v>333500</v>
      </c>
      <c r="M14" s="24">
        <v>333500</v>
      </c>
      <c r="N14" s="24">
        <v>333500</v>
      </c>
      <c r="O14" s="24">
        <v>333500</v>
      </c>
      <c r="P14" s="24">
        <v>317143</v>
      </c>
      <c r="Q14" s="24">
        <v>317143</v>
      </c>
      <c r="R14" s="24">
        <f>SUM(F14:Q14)</f>
        <v>3921286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v>22465998</v>
      </c>
      <c r="E17" s="24">
        <v>21731538.420000002</v>
      </c>
      <c r="F17" s="24">
        <f>864160.42+872292.83+110818.89</f>
        <v>1847272.14</v>
      </c>
      <c r="G17" s="24">
        <f>858506.14+866630.58+109941.64</f>
        <v>1835078.3599999999</v>
      </c>
      <c r="H17" s="24">
        <v>1820817.89</v>
      </c>
      <c r="I17" s="24">
        <f>851146+855772.31+112742.28</f>
        <v>1819660.59</v>
      </c>
      <c r="J17" s="24">
        <f>846572.95+851192.81+112032.78</f>
        <v>1809798.54</v>
      </c>
      <c r="K17" s="24">
        <f>849255.33+853878.98+112173.95</f>
        <v>1815308.26</v>
      </c>
      <c r="L17" s="24">
        <f>856572.21+861206.18+112612.84</f>
        <v>1830391.2300000002</v>
      </c>
      <c r="M17" s="24">
        <f>864016.71+868661.18+113767.84</f>
        <v>1846445.7300000002</v>
      </c>
      <c r="N17" s="24">
        <f>832466.21+837066.18+110320.46</f>
        <v>1779852.85</v>
      </c>
      <c r="O17" s="24">
        <f>839343.51+843953.18+110526.15</f>
        <v>1793822.8399999999</v>
      </c>
      <c r="P17" s="24">
        <f>810629.01+815198.18+107408.77</f>
        <v>1733235.96</v>
      </c>
      <c r="Q17" s="24">
        <f>839771.2+844381.49+109363.82</f>
        <v>1793516.51</v>
      </c>
      <c r="R17" s="24">
        <f t="shared" ref="R17:R27" si="1">SUM(F17:Q17)</f>
        <v>21725200.900000002</v>
      </c>
    </row>
    <row r="18" spans="3:18" x14ac:dyDescent="0.25">
      <c r="C18" s="3" t="s">
        <v>7</v>
      </c>
      <c r="D18" s="25">
        <f t="shared" ref="D18:I18" si="2">D19+D20+D21+D22+D23+D24+D25+D26+D27</f>
        <v>78896590</v>
      </c>
      <c r="E18" s="25">
        <f t="shared" si="2"/>
        <v>100815749.77999999</v>
      </c>
      <c r="F18" s="25">
        <f t="shared" si="2"/>
        <v>4013686.89</v>
      </c>
      <c r="G18" s="25">
        <f t="shared" si="2"/>
        <v>4564432.68</v>
      </c>
      <c r="H18" s="25">
        <f t="shared" si="2"/>
        <v>4875188.9699999988</v>
      </c>
      <c r="I18" s="25">
        <f t="shared" si="2"/>
        <v>4934694.6399999997</v>
      </c>
      <c r="J18" s="25">
        <f t="shared" ref="J18:Q18" si="3">J19+J20+J21+J22+J23+J24+J25+J26+J27</f>
        <v>4598395.13</v>
      </c>
      <c r="K18" s="25">
        <f t="shared" si="3"/>
        <v>10958809.609999999</v>
      </c>
      <c r="L18" s="25">
        <f t="shared" si="3"/>
        <v>5899027.2999999989</v>
      </c>
      <c r="M18" s="25">
        <f t="shared" si="3"/>
        <v>7031406.9400000004</v>
      </c>
      <c r="N18" s="25">
        <f t="shared" si="3"/>
        <v>6198859.5</v>
      </c>
      <c r="O18" s="25">
        <f t="shared" si="3"/>
        <v>8978574.7100000009</v>
      </c>
      <c r="P18" s="25">
        <f t="shared" si="3"/>
        <v>14279814.480000002</v>
      </c>
      <c r="Q18" s="25">
        <f t="shared" si="3"/>
        <v>14424407.59</v>
      </c>
      <c r="R18" s="25">
        <f t="shared" si="1"/>
        <v>90757298.439999998</v>
      </c>
    </row>
    <row r="19" spans="3:18" x14ac:dyDescent="0.25">
      <c r="C19" s="5" t="s">
        <v>8</v>
      </c>
      <c r="D19" s="24">
        <v>27452090</v>
      </c>
      <c r="E19" s="24">
        <v>27833699.91</v>
      </c>
      <c r="F19" s="24">
        <f>815947.89+253249.86+1011994.48+617383.3</f>
        <v>2698575.5300000003</v>
      </c>
      <c r="G19" s="24">
        <f>447933.82+404945.9+1665584.79+571326.66+27615+12329</f>
        <v>3129735.17</v>
      </c>
      <c r="H19" s="24">
        <v>2282632.04</v>
      </c>
      <c r="I19" s="24">
        <f>464494.54+191075.86+914219.55+572706.61+7541+2177</f>
        <v>2152214.56</v>
      </c>
      <c r="J19" s="24">
        <f>453154.61+191322.35+919243.32+558269.96+10270+2780</f>
        <v>2135040.2399999998</v>
      </c>
      <c r="K19" s="24">
        <f>477888.97+197435.31+923194+576243.55+4183+1610</f>
        <v>2180554.83</v>
      </c>
      <c r="L19" s="24">
        <f>469944.2+176144.03+1034079.06+540107.86+10036+8540</f>
        <v>2238851.15</v>
      </c>
      <c r="M19" s="24">
        <f>637265.63+333034.91+829575.1+571173.58+5434+2499</f>
        <v>2378982.2200000002</v>
      </c>
      <c r="N19" s="24">
        <f>619252.96+202030.41+791380.19+592485.92+3874+2500</f>
        <v>2211523.48</v>
      </c>
      <c r="O19" s="24">
        <f>412829.41+214661.71+909362.67+578755.8+3874+300</f>
        <v>2119783.59</v>
      </c>
      <c r="P19" s="24">
        <f>411309.87+174982.9+959323.4+550209.66+3874+4770</f>
        <v>2104469.83</v>
      </c>
      <c r="Q19" s="24">
        <v>1175375.42</v>
      </c>
      <c r="R19" s="24">
        <f t="shared" si="1"/>
        <v>26807738.060000002</v>
      </c>
    </row>
    <row r="20" spans="3:18" x14ac:dyDescent="0.25">
      <c r="C20" s="5" t="s">
        <v>9</v>
      </c>
      <c r="D20" s="24">
        <v>215000</v>
      </c>
      <c r="E20" s="24">
        <v>206350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1500</v>
      </c>
      <c r="L20" s="24">
        <v>0</v>
      </c>
      <c r="M20" s="24">
        <v>16940</v>
      </c>
      <c r="N20" s="24">
        <v>14876.26</v>
      </c>
      <c r="O20" s="24">
        <v>0</v>
      </c>
      <c r="P20" s="24">
        <v>0</v>
      </c>
      <c r="Q20" s="24">
        <v>1350</v>
      </c>
      <c r="R20" s="24">
        <f t="shared" si="1"/>
        <v>34666.26</v>
      </c>
    </row>
    <row r="21" spans="3:18" x14ac:dyDescent="0.25">
      <c r="C21" s="5" t="s">
        <v>10</v>
      </c>
      <c r="D21" s="24">
        <v>3700000</v>
      </c>
      <c r="E21" s="24">
        <v>12244550</v>
      </c>
      <c r="F21" s="24">
        <v>0</v>
      </c>
      <c r="G21" s="24">
        <v>119000</v>
      </c>
      <c r="H21" s="24">
        <v>85400</v>
      </c>
      <c r="I21" s="24">
        <v>167517.5</v>
      </c>
      <c r="J21" s="24">
        <v>76450</v>
      </c>
      <c r="K21" s="24">
        <v>93880</v>
      </c>
      <c r="L21" s="24">
        <v>341767.5</v>
      </c>
      <c r="M21" s="24">
        <v>172490</v>
      </c>
      <c r="N21" s="24">
        <v>501507.5</v>
      </c>
      <c r="O21" s="24">
        <f>281705.51+2670530</f>
        <v>2952235.51</v>
      </c>
      <c r="P21" s="24">
        <v>5581660</v>
      </c>
      <c r="Q21" s="24">
        <v>814636.72</v>
      </c>
      <c r="R21" s="24">
        <f t="shared" si="1"/>
        <v>10906544.73</v>
      </c>
    </row>
    <row r="22" spans="3:18" x14ac:dyDescent="0.25">
      <c r="C22" s="5" t="s">
        <v>11</v>
      </c>
      <c r="D22" s="24">
        <v>1720000</v>
      </c>
      <c r="E22" s="24">
        <v>1140878.17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139000</v>
      </c>
      <c r="N22" s="24">
        <f>7641.56+64700+12668.68</f>
        <v>85010.239999999991</v>
      </c>
      <c r="O22" s="24">
        <v>0</v>
      </c>
      <c r="P22" s="24">
        <v>0</v>
      </c>
      <c r="Q22" s="24">
        <v>224398.17</v>
      </c>
      <c r="R22" s="24">
        <f t="shared" si="1"/>
        <v>448408.41000000003</v>
      </c>
    </row>
    <row r="23" spans="3:18" x14ac:dyDescent="0.25">
      <c r="C23" s="5" t="s">
        <v>12</v>
      </c>
      <c r="D23" s="24">
        <v>23404000</v>
      </c>
      <c r="E23" s="24">
        <v>23592865</v>
      </c>
      <c r="F23" s="24">
        <v>0</v>
      </c>
      <c r="G23" s="24">
        <v>84488</v>
      </c>
      <c r="H23" s="24">
        <v>355001.48</v>
      </c>
      <c r="I23" s="24">
        <v>147139.93</v>
      </c>
      <c r="J23" s="24">
        <f>81184+141787.8</f>
        <v>222971.8</v>
      </c>
      <c r="K23" s="24">
        <f>6849049.33+81184</f>
        <v>6930233.3300000001</v>
      </c>
      <c r="L23" s="24">
        <f>1462191.62+81184</f>
        <v>1543375.62</v>
      </c>
      <c r="M23" s="24">
        <f>2419302.18+81184+214435.65</f>
        <v>2714921.83</v>
      </c>
      <c r="N23" s="24">
        <f>1126786.06+127746.21</f>
        <v>1254532.27</v>
      </c>
      <c r="O23" s="24">
        <f>2020293.34+81184</f>
        <v>2101477.34</v>
      </c>
      <c r="P23" s="24">
        <f>1427775.06+104822.94+1367680</f>
        <v>2900278</v>
      </c>
      <c r="Q23" s="24">
        <v>4589882.87</v>
      </c>
      <c r="R23" s="24">
        <f t="shared" si="1"/>
        <v>22844302.470000003</v>
      </c>
    </row>
    <row r="24" spans="3:18" x14ac:dyDescent="0.25">
      <c r="C24" s="5" t="s">
        <v>13</v>
      </c>
      <c r="D24" s="24">
        <v>14670500</v>
      </c>
      <c r="E24" s="24">
        <v>15199052</v>
      </c>
      <c r="F24" s="24">
        <v>1194917.68</v>
      </c>
      <c r="G24" s="24">
        <v>880511.45</v>
      </c>
      <c r="H24" s="24">
        <v>1565479</v>
      </c>
      <c r="I24" s="24">
        <f>326888.77+1198709.99</f>
        <v>1525598.76</v>
      </c>
      <c r="J24" s="24">
        <f>293205.46+1363636.29</f>
        <v>1656841.75</v>
      </c>
      <c r="K24" s="24">
        <v>1464175.53</v>
      </c>
      <c r="L24" s="24">
        <v>850726.87</v>
      </c>
      <c r="M24" s="24">
        <v>1175041.5</v>
      </c>
      <c r="N24" s="24">
        <f>392531.66+838998.35</f>
        <v>1231530.01</v>
      </c>
      <c r="O24" s="24">
        <v>1398967.97</v>
      </c>
      <c r="P24" s="24">
        <v>1034078.8</v>
      </c>
      <c r="Q24" s="24">
        <v>1217149.33</v>
      </c>
      <c r="R24" s="24">
        <f t="shared" si="1"/>
        <v>15195018.65</v>
      </c>
    </row>
    <row r="25" spans="3:18" ht="30" x14ac:dyDescent="0.25">
      <c r="C25" s="29" t="s">
        <v>14</v>
      </c>
      <c r="D25" s="24">
        <v>2820000</v>
      </c>
      <c r="E25" s="24">
        <v>4636069.99</v>
      </c>
      <c r="F25" s="24">
        <v>42244</v>
      </c>
      <c r="G25" s="24">
        <v>86199</v>
      </c>
      <c r="H25" s="24">
        <v>449532.8</v>
      </c>
      <c r="I25" s="24">
        <v>566400</v>
      </c>
      <c r="J25" s="24">
        <v>7620.8</v>
      </c>
      <c r="K25" s="24">
        <v>0</v>
      </c>
      <c r="L25" s="24">
        <v>149989.79999999999</v>
      </c>
      <c r="M25" s="24">
        <f>30000+96800</f>
        <v>126800</v>
      </c>
      <c r="N25" s="24">
        <f>1400+600164.3</f>
        <v>601564.30000000005</v>
      </c>
      <c r="O25" s="24">
        <f>20000+29264+112100</f>
        <v>161364</v>
      </c>
      <c r="P25" s="24">
        <f>16909.4+47200</f>
        <v>64109.4</v>
      </c>
      <c r="Q25" s="24">
        <v>1768487.75</v>
      </c>
      <c r="R25" s="24">
        <f t="shared" si="1"/>
        <v>4024311.85</v>
      </c>
    </row>
    <row r="26" spans="3:18" x14ac:dyDescent="0.25">
      <c r="C26" s="5" t="s">
        <v>15</v>
      </c>
      <c r="D26" s="24">
        <v>1635000</v>
      </c>
      <c r="E26" s="24">
        <v>11157548.189999999</v>
      </c>
      <c r="F26" s="24">
        <v>0</v>
      </c>
      <c r="G26" s="24">
        <f>5100.05+33000+19116</f>
        <v>57216.05</v>
      </c>
      <c r="H26" s="24">
        <v>17700.009999999998</v>
      </c>
      <c r="I26" s="24">
        <f>525+9300.09+16500+23895+4599.42</f>
        <v>54819.509999999995</v>
      </c>
      <c r="J26" s="24">
        <f>160000+19116</f>
        <v>179116</v>
      </c>
      <c r="K26" s="24">
        <v>73000</v>
      </c>
      <c r="L26" s="24">
        <f>7425+165200+262699.14+19116</f>
        <v>454440.14</v>
      </c>
      <c r="M26" s="24">
        <f>50464+9558</f>
        <v>60022</v>
      </c>
      <c r="N26" s="24">
        <f>1485.33+39999.99+17700+16500+11151</f>
        <v>86836.32</v>
      </c>
      <c r="O26" s="24">
        <f>20000+6249.99</f>
        <v>26249.989999999998</v>
      </c>
      <c r="P26" s="24">
        <v>2312803.98</v>
      </c>
      <c r="Q26" s="24">
        <v>2830394.28</v>
      </c>
      <c r="R26" s="24">
        <f t="shared" si="1"/>
        <v>6152598.2799999993</v>
      </c>
    </row>
    <row r="27" spans="3:18" x14ac:dyDescent="0.25">
      <c r="C27" s="5" t="s">
        <v>16</v>
      </c>
      <c r="D27" s="24">
        <v>3280000</v>
      </c>
      <c r="E27" s="24">
        <v>4804736.5199999996</v>
      </c>
      <c r="F27" s="24">
        <v>77949.679999999993</v>
      </c>
      <c r="G27" s="24">
        <v>207283.01</v>
      </c>
      <c r="H27" s="24">
        <v>119443.64</v>
      </c>
      <c r="I27" s="24">
        <v>321004.38</v>
      </c>
      <c r="J27" s="24">
        <v>320354.53999999998</v>
      </c>
      <c r="K27" s="24">
        <f>93102+122363.92</f>
        <v>215465.91999999998</v>
      </c>
      <c r="L27" s="24">
        <v>319876.21999999997</v>
      </c>
      <c r="M27" s="24">
        <v>247209.39</v>
      </c>
      <c r="N27" s="24">
        <v>211479.12</v>
      </c>
      <c r="O27" s="24">
        <f>92244.9+126251.41</f>
        <v>218496.31</v>
      </c>
      <c r="P27" s="24">
        <v>282414.46999999997</v>
      </c>
      <c r="Q27" s="24">
        <v>1802733.05</v>
      </c>
      <c r="R27" s="24">
        <f t="shared" si="1"/>
        <v>4343709.7299999995</v>
      </c>
    </row>
    <row r="28" spans="3:18" x14ac:dyDescent="0.25">
      <c r="C28" s="3" t="s">
        <v>17</v>
      </c>
      <c r="D28" s="25">
        <f>D29+D30+D31+D32+D33+D34+D35+D37</f>
        <v>14150689</v>
      </c>
      <c r="E28" s="25">
        <f>E29+E30+E31+E32+E33+E34+E35+E37</f>
        <v>15860046.32</v>
      </c>
      <c r="F28" s="25">
        <f t="shared" ref="F28:R28" si="4">F29+F30+F31+F32+F33+F34+F35+F37</f>
        <v>725140</v>
      </c>
      <c r="G28" s="25">
        <f t="shared" si="4"/>
        <v>735220</v>
      </c>
      <c r="H28" s="25">
        <f t="shared" si="4"/>
        <v>1203322.1499999999</v>
      </c>
      <c r="I28" s="25">
        <f t="shared" si="4"/>
        <v>559729.84000000008</v>
      </c>
      <c r="J28" s="25">
        <f t="shared" si="4"/>
        <v>959125.32999999984</v>
      </c>
      <c r="K28" s="25">
        <f t="shared" si="4"/>
        <v>1660734.6199999999</v>
      </c>
      <c r="L28" s="25">
        <f t="shared" si="4"/>
        <v>820380.08000000007</v>
      </c>
      <c r="M28" s="25">
        <f t="shared" si="4"/>
        <v>1108833.02</v>
      </c>
      <c r="N28" s="25">
        <f t="shared" si="4"/>
        <v>1226801.2999999998</v>
      </c>
      <c r="O28" s="25">
        <f t="shared" si="4"/>
        <v>625733.68999999994</v>
      </c>
      <c r="P28" s="25">
        <f t="shared" si="4"/>
        <v>738409</v>
      </c>
      <c r="Q28" s="25">
        <f t="shared" si="4"/>
        <v>2657870.91</v>
      </c>
      <c r="R28" s="25">
        <f t="shared" si="4"/>
        <v>13021299.940000001</v>
      </c>
    </row>
    <row r="29" spans="3:18" x14ac:dyDescent="0.25">
      <c r="C29" s="5" t="s">
        <v>18</v>
      </c>
      <c r="D29" s="24">
        <v>665000</v>
      </c>
      <c r="E29" s="24">
        <v>873259.39</v>
      </c>
      <c r="F29" s="24">
        <v>2640</v>
      </c>
      <c r="G29" s="24">
        <v>12720</v>
      </c>
      <c r="H29" s="24">
        <v>31770.05</v>
      </c>
      <c r="I29" s="24">
        <v>20384.5</v>
      </c>
      <c r="J29" s="24">
        <v>18369.990000000002</v>
      </c>
      <c r="K29" s="24">
        <v>193898.2</v>
      </c>
      <c r="L29" s="24">
        <v>4740</v>
      </c>
      <c r="M29" s="24">
        <v>28880</v>
      </c>
      <c r="N29" s="24">
        <v>191111.62</v>
      </c>
      <c r="O29" s="24">
        <v>9840</v>
      </c>
      <c r="P29" s="24">
        <v>9780</v>
      </c>
      <c r="Q29" s="24">
        <v>217877.21</v>
      </c>
      <c r="R29" s="24">
        <f t="shared" ref="R29:R36" si="5">SUM(F29:Q29)</f>
        <v>742011.57</v>
      </c>
    </row>
    <row r="30" spans="3:18" x14ac:dyDescent="0.25">
      <c r="C30" s="5" t="s">
        <v>19</v>
      </c>
      <c r="D30" s="24">
        <v>125000</v>
      </c>
      <c r="E30" s="24">
        <v>486200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112930.58</v>
      </c>
      <c r="M30" s="24">
        <v>0</v>
      </c>
      <c r="N30" s="24">
        <v>777.9</v>
      </c>
      <c r="O30" s="24">
        <v>0</v>
      </c>
      <c r="P30" s="24">
        <f>17051+156350</f>
        <v>173401</v>
      </c>
      <c r="Q30" s="24">
        <v>0</v>
      </c>
      <c r="R30" s="24">
        <f t="shared" si="5"/>
        <v>287109.48</v>
      </c>
    </row>
    <row r="31" spans="3:18" x14ac:dyDescent="0.25">
      <c r="C31" s="5" t="s">
        <v>20</v>
      </c>
      <c r="D31" s="24">
        <v>475000</v>
      </c>
      <c r="E31" s="24">
        <v>794816</v>
      </c>
      <c r="F31" s="24">
        <v>0</v>
      </c>
      <c r="G31" s="24">
        <v>0</v>
      </c>
      <c r="H31" s="24">
        <v>31246.400000000001</v>
      </c>
      <c r="I31" s="24">
        <v>0</v>
      </c>
      <c r="J31" s="24">
        <v>19352</v>
      </c>
      <c r="K31" s="24">
        <v>52038</v>
      </c>
      <c r="L31" s="24">
        <v>11475</v>
      </c>
      <c r="M31" s="24">
        <v>3100</v>
      </c>
      <c r="N31" s="24">
        <v>252157.83</v>
      </c>
      <c r="O31" s="24">
        <v>19617.5</v>
      </c>
      <c r="P31" s="24">
        <v>29500</v>
      </c>
      <c r="Q31" s="24">
        <v>118225.84</v>
      </c>
      <c r="R31" s="24">
        <f t="shared" si="5"/>
        <v>536712.56999999995</v>
      </c>
    </row>
    <row r="32" spans="3:18" x14ac:dyDescent="0.25">
      <c r="C32" s="5" t="s">
        <v>21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5"/>
        <v>0</v>
      </c>
    </row>
    <row r="33" spans="3:18" x14ac:dyDescent="0.25">
      <c r="C33" s="5" t="s">
        <v>22</v>
      </c>
      <c r="D33" s="24">
        <v>300000</v>
      </c>
      <c r="E33" s="24">
        <v>201699.86</v>
      </c>
      <c r="F33" s="24">
        <v>0</v>
      </c>
      <c r="G33" s="24">
        <v>0</v>
      </c>
      <c r="H33" s="24">
        <v>0</v>
      </c>
      <c r="I33" s="24">
        <v>0</v>
      </c>
      <c r="J33" s="24">
        <v>7168.5</v>
      </c>
      <c r="K33" s="24">
        <v>140618.23999999999</v>
      </c>
      <c r="L33" s="24">
        <v>0</v>
      </c>
      <c r="M33" s="24">
        <v>0</v>
      </c>
      <c r="N33" s="24">
        <f>1450+13300.72</f>
        <v>14750.72</v>
      </c>
      <c r="O33" s="24">
        <v>0</v>
      </c>
      <c r="P33" s="24">
        <v>0</v>
      </c>
      <c r="Q33" s="24">
        <v>6830.39</v>
      </c>
      <c r="R33" s="24">
        <f t="shared" si="5"/>
        <v>169367.85</v>
      </c>
    </row>
    <row r="34" spans="3:18" x14ac:dyDescent="0.25">
      <c r="C34" s="5" t="s">
        <v>23</v>
      </c>
      <c r="D34" s="24">
        <v>305002</v>
      </c>
      <c r="E34" s="24">
        <v>306167.65000000002</v>
      </c>
      <c r="F34" s="24">
        <v>0</v>
      </c>
      <c r="G34" s="24">
        <v>0</v>
      </c>
      <c r="H34" s="24">
        <v>3223.43</v>
      </c>
      <c r="I34" s="24">
        <v>324.97000000000003</v>
      </c>
      <c r="J34" s="24">
        <f>1761.47+2643.82</f>
        <v>4405.29</v>
      </c>
      <c r="K34" s="24">
        <f>2884.75+6200.05+217.5+2000.95</f>
        <v>11303.25</v>
      </c>
      <c r="L34" s="24">
        <v>111650</v>
      </c>
      <c r="M34" s="24">
        <f>672.6+1919.86+1444.32</f>
        <v>4036.7799999999997</v>
      </c>
      <c r="N34" s="24">
        <f>6073.67+995+23650.59</f>
        <v>30719.260000000002</v>
      </c>
      <c r="O34" s="24">
        <v>1534</v>
      </c>
      <c r="P34" s="24">
        <v>0</v>
      </c>
      <c r="Q34" s="24">
        <v>11295.45</v>
      </c>
      <c r="R34" s="24">
        <f t="shared" si="5"/>
        <v>178492.43000000002</v>
      </c>
    </row>
    <row r="35" spans="3:18" x14ac:dyDescent="0.25">
      <c r="C35" s="5" t="s">
        <v>24</v>
      </c>
      <c r="D35" s="24">
        <v>11100000</v>
      </c>
      <c r="E35" s="24">
        <v>11328260.41</v>
      </c>
      <c r="F35" s="24">
        <v>722500</v>
      </c>
      <c r="G35" s="24">
        <v>722500</v>
      </c>
      <c r="H35" s="24">
        <v>1015500</v>
      </c>
      <c r="I35" s="24">
        <v>516862.32</v>
      </c>
      <c r="J35" s="24">
        <f>505000+50548.6+115907.57+2468.44</f>
        <v>673924.60999999987</v>
      </c>
      <c r="K35" s="24">
        <f>789500+99999.22+10431.2+99550.11+16494.71</f>
        <v>1015975.2399999999</v>
      </c>
      <c r="L35" s="24">
        <v>512000</v>
      </c>
      <c r="M35" s="24">
        <f>900000+6773.2+6742.52</f>
        <v>913515.72</v>
      </c>
      <c r="N35" s="24">
        <f>474000+315+300+2463.74+3033.61+6063.18</f>
        <v>486175.52999999997</v>
      </c>
      <c r="O35" s="24">
        <v>484500</v>
      </c>
      <c r="P35" s="24">
        <v>479000</v>
      </c>
      <c r="Q35" s="24">
        <v>2000241.73</v>
      </c>
      <c r="R35" s="24">
        <f t="shared" si="5"/>
        <v>9542695.1500000004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f t="shared" si="5"/>
        <v>0</v>
      </c>
    </row>
    <row r="37" spans="3:18" x14ac:dyDescent="0.25">
      <c r="C37" s="5" t="s">
        <v>26</v>
      </c>
      <c r="D37" s="24">
        <v>1180687</v>
      </c>
      <c r="E37" s="24">
        <v>1869643.01</v>
      </c>
      <c r="F37" s="24">
        <v>0</v>
      </c>
      <c r="G37" s="24">
        <v>0</v>
      </c>
      <c r="H37" s="24">
        <v>121582.27</v>
      </c>
      <c r="I37" s="24">
        <f>11876.94+6062.46+4218.65</f>
        <v>22158.050000000003</v>
      </c>
      <c r="J37" s="24">
        <f>47039.23+90737.28+26000.24+58481.84+12398.5+1247.85</f>
        <v>235904.94</v>
      </c>
      <c r="K37" s="24">
        <f>45492.66+2891.61+74365.37+30343.62+16150.06+1400.9+76257.47</f>
        <v>246901.69</v>
      </c>
      <c r="L37" s="24">
        <f>58498.5+9086</f>
        <v>67584.5</v>
      </c>
      <c r="M37" s="24">
        <f>30472.91+32621.03+34696.72+60833.58+676.28</f>
        <v>159300.51999999999</v>
      </c>
      <c r="N37" s="24">
        <f>102156.91+1905.7+640+5629.99+20801.03+3000.01+53532+708+62734.8</f>
        <v>251108.44</v>
      </c>
      <c r="O37" s="24">
        <f>80160+21461.93+5710.38+2909.88</f>
        <v>110242.19</v>
      </c>
      <c r="P37" s="24">
        <v>46728</v>
      </c>
      <c r="Q37" s="24">
        <v>303400.28999999998</v>
      </c>
      <c r="R37" s="24">
        <f>SUM(F37:Q37)</f>
        <v>1564910.89</v>
      </c>
    </row>
    <row r="38" spans="3:18" x14ac:dyDescent="0.25">
      <c r="C38" s="3" t="s">
        <v>27</v>
      </c>
      <c r="D38" s="25">
        <f>D39</f>
        <v>50000</v>
      </c>
      <c r="E38" s="25">
        <f>E39</f>
        <v>50000</v>
      </c>
      <c r="F38" s="25">
        <f t="shared" ref="F38:R38" si="6">F39</f>
        <v>0</v>
      </c>
      <c r="G38" s="25">
        <f t="shared" si="6"/>
        <v>0</v>
      </c>
      <c r="H38" s="25">
        <f t="shared" si="6"/>
        <v>24000</v>
      </c>
      <c r="I38" s="25">
        <f t="shared" si="6"/>
        <v>0</v>
      </c>
      <c r="J38" s="25">
        <f t="shared" si="6"/>
        <v>0</v>
      </c>
      <c r="K38" s="25">
        <f t="shared" si="6"/>
        <v>0</v>
      </c>
      <c r="L38" s="25">
        <f t="shared" si="6"/>
        <v>0</v>
      </c>
      <c r="M38" s="25">
        <f t="shared" si="6"/>
        <v>0</v>
      </c>
      <c r="N38" s="25">
        <f t="shared" si="6"/>
        <v>0</v>
      </c>
      <c r="O38" s="25">
        <f t="shared" si="6"/>
        <v>0</v>
      </c>
      <c r="P38" s="25">
        <f t="shared" si="6"/>
        <v>0</v>
      </c>
      <c r="Q38" s="25">
        <f t="shared" si="6"/>
        <v>0</v>
      </c>
      <c r="R38" s="25">
        <f t="shared" si="6"/>
        <v>24000</v>
      </c>
    </row>
    <row r="39" spans="3:18" x14ac:dyDescent="0.25">
      <c r="C39" s="5" t="s">
        <v>28</v>
      </c>
      <c r="D39" s="24">
        <v>50000</v>
      </c>
      <c r="E39" s="24">
        <v>50000</v>
      </c>
      <c r="F39" s="24">
        <v>0</v>
      </c>
      <c r="G39" s="24">
        <v>0</v>
      </c>
      <c r="H39" s="24">
        <v>24000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f>SUM(F39:Q39)</f>
        <v>24000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1000000</v>
      </c>
      <c r="E54" s="25">
        <f>E55+E58+E59+E56+E62</f>
        <v>1516500</v>
      </c>
      <c r="F54" s="25">
        <f>F55+F58+F59</f>
        <v>0</v>
      </c>
      <c r="G54" s="25">
        <f>G55+G58+G59</f>
        <v>0</v>
      </c>
      <c r="H54" s="25">
        <f>H55+H58+H59+H62</f>
        <v>842496.34</v>
      </c>
      <c r="I54" s="25">
        <f>I55+I58+I59</f>
        <v>0</v>
      </c>
      <c r="J54" s="25">
        <f>J56+J55</f>
        <v>24721</v>
      </c>
      <c r="K54" s="25">
        <f t="shared" ref="K54:O54" si="7">K55+K58+K59</f>
        <v>78242.290000000008</v>
      </c>
      <c r="L54" s="25">
        <f t="shared" si="7"/>
        <v>0</v>
      </c>
      <c r="M54" s="25">
        <f t="shared" si="7"/>
        <v>118631.54</v>
      </c>
      <c r="N54" s="25">
        <f>N55+N58+N59+N56</f>
        <v>0</v>
      </c>
      <c r="O54" s="25">
        <f t="shared" si="7"/>
        <v>177343.5</v>
      </c>
      <c r="P54" s="25">
        <f>P55+P58+P59+P56+P62</f>
        <v>94300.9</v>
      </c>
      <c r="Q54" s="25">
        <f>Q55+Q58+Q59+Q56</f>
        <v>105374</v>
      </c>
      <c r="R54" s="25">
        <f>SUM(F54:Q54)</f>
        <v>1441109.5699999998</v>
      </c>
    </row>
    <row r="55" spans="3:18" x14ac:dyDescent="0.25">
      <c r="C55" s="5" t="s">
        <v>44</v>
      </c>
      <c r="D55" s="24">
        <v>650000</v>
      </c>
      <c r="E55" s="24">
        <v>1364000</v>
      </c>
      <c r="F55" s="24">
        <v>0</v>
      </c>
      <c r="G55" s="24">
        <v>0</v>
      </c>
      <c r="H55" s="24">
        <v>802496.34</v>
      </c>
      <c r="I55" s="24">
        <v>0</v>
      </c>
      <c r="J55" s="24">
        <v>24721</v>
      </c>
      <c r="K55" s="24">
        <v>76934.3</v>
      </c>
      <c r="L55" s="24">
        <v>0</v>
      </c>
      <c r="M55" s="24">
        <v>103291.54</v>
      </c>
      <c r="N55" s="24">
        <v>0</v>
      </c>
      <c r="O55" s="24">
        <f>138138+39205.5</f>
        <v>177343.5</v>
      </c>
      <c r="P55" s="24">
        <v>4578.3999999999996</v>
      </c>
      <c r="Q55" s="24">
        <v>105374</v>
      </c>
      <c r="R55" s="24">
        <f>SUM(F55:Q55)</f>
        <v>1294739.08</v>
      </c>
    </row>
    <row r="56" spans="3:18" x14ac:dyDescent="0.25">
      <c r="C56" s="5" t="s">
        <v>45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f>SUM(F56:Q56)</f>
        <v>0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59" si="8">SUM(F57:Q57)</f>
        <v>0</v>
      </c>
    </row>
    <row r="58" spans="3:18" x14ac:dyDescent="0.25">
      <c r="C58" s="5" t="s">
        <v>47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8"/>
        <v>0</v>
      </c>
    </row>
    <row r="59" spans="3:18" x14ac:dyDescent="0.25">
      <c r="C59" s="5" t="s">
        <v>48</v>
      </c>
      <c r="D59" s="24">
        <v>350000</v>
      </c>
      <c r="E59" s="24">
        <v>112500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1307.99</v>
      </c>
      <c r="L59" s="24">
        <v>0</v>
      </c>
      <c r="M59" s="24">
        <v>15340</v>
      </c>
      <c r="N59" s="24">
        <v>0</v>
      </c>
      <c r="O59" s="24">
        <v>0</v>
      </c>
      <c r="P59" s="24">
        <v>89722.5</v>
      </c>
      <c r="Q59" s="24">
        <v>0</v>
      </c>
      <c r="R59" s="24">
        <f t="shared" si="8"/>
        <v>106370.49</v>
      </c>
    </row>
    <row r="60" spans="3:18" x14ac:dyDescent="0.25">
      <c r="C60" s="5" t="s">
        <v>49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40000</v>
      </c>
      <c r="F62" s="24">
        <v>0</v>
      </c>
      <c r="G62" s="24">
        <v>0</v>
      </c>
      <c r="H62" s="24">
        <v>40000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f>SUM(F62:Q62)</f>
        <v>40000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8">
        <f>D54+D38+D28+D18+D12</f>
        <v>311699277</v>
      </c>
      <c r="E85" s="28">
        <f>E54+E38+E28+E18+E12</f>
        <v>341844294.10000002</v>
      </c>
      <c r="F85" s="28">
        <f t="shared" ref="F85:R85" si="9">F54+F38+F28+F18+F12</f>
        <v>19181413.640000001</v>
      </c>
      <c r="G85" s="28">
        <f t="shared" si="9"/>
        <v>19650295.649999999</v>
      </c>
      <c r="H85" s="28">
        <f t="shared" si="9"/>
        <v>23135808.469999999</v>
      </c>
      <c r="I85" s="28">
        <f t="shared" si="9"/>
        <v>32521576.899999999</v>
      </c>
      <c r="J85" s="28">
        <f t="shared" si="9"/>
        <v>19743243.73</v>
      </c>
      <c r="K85" s="28">
        <f t="shared" si="9"/>
        <v>27331415.18</v>
      </c>
      <c r="L85" s="28">
        <f t="shared" si="9"/>
        <v>21207148.729999997</v>
      </c>
      <c r="M85" s="28">
        <f t="shared" si="9"/>
        <v>22865481.84</v>
      </c>
      <c r="N85" s="28">
        <f t="shared" si="9"/>
        <v>21839522.75</v>
      </c>
      <c r="O85" s="28">
        <f t="shared" si="9"/>
        <v>36428303.57</v>
      </c>
      <c r="P85" s="28">
        <f t="shared" si="9"/>
        <v>41728467.640000001</v>
      </c>
      <c r="Q85" s="28">
        <f t="shared" si="9"/>
        <v>43323249.170000002</v>
      </c>
      <c r="R85" s="28">
        <f t="shared" si="9"/>
        <v>328955927.26999992</v>
      </c>
    </row>
    <row r="86" spans="3:18" x14ac:dyDescent="0.25">
      <c r="C86" s="38" t="s">
        <v>111</v>
      </c>
      <c r="D86" s="39"/>
    </row>
    <row r="91" spans="3:18" ht="13.5" customHeight="1" x14ac:dyDescent="0.3">
      <c r="C91" s="31"/>
      <c r="D91" s="30"/>
      <c r="E91" s="30"/>
      <c r="F91" s="30"/>
      <c r="G91" s="31"/>
      <c r="H91" s="32"/>
      <c r="J91" s="33"/>
      <c r="K91" s="30"/>
    </row>
    <row r="92" spans="3:18" ht="36" customHeight="1" x14ac:dyDescent="0.25"/>
    <row r="93" spans="3:18" ht="18.75" x14ac:dyDescent="0.3">
      <c r="C93" s="31"/>
      <c r="D93" s="31" t="s">
        <v>101</v>
      </c>
      <c r="E93" s="30"/>
      <c r="F93" s="30"/>
      <c r="G93" s="30"/>
      <c r="H93" s="31" t="s">
        <v>102</v>
      </c>
      <c r="J93" s="32"/>
      <c r="L93" s="33"/>
      <c r="M93" s="30"/>
    </row>
    <row r="94" spans="3:18" ht="18.75" x14ac:dyDescent="0.3">
      <c r="C94" s="34"/>
      <c r="D94" s="34" t="s">
        <v>103</v>
      </c>
      <c r="E94" s="32"/>
      <c r="F94" s="30"/>
      <c r="G94" s="30"/>
      <c r="H94" s="34" t="s">
        <v>103</v>
      </c>
      <c r="J94" s="34"/>
      <c r="K94" s="30"/>
      <c r="L94" s="30"/>
      <c r="M94" s="30"/>
    </row>
    <row r="95" spans="3:18" ht="18.75" x14ac:dyDescent="0.3">
      <c r="C95" s="32"/>
      <c r="D95" s="32" t="s">
        <v>104</v>
      </c>
      <c r="E95" s="32"/>
      <c r="F95" s="30"/>
      <c r="G95" s="30"/>
      <c r="H95" s="32" t="s">
        <v>105</v>
      </c>
      <c r="I95" s="49" t="s">
        <v>112</v>
      </c>
      <c r="J95" s="49"/>
      <c r="K95" s="49"/>
      <c r="L95" s="49"/>
      <c r="M95" s="30"/>
    </row>
    <row r="96" spans="3:18" ht="18.75" x14ac:dyDescent="0.3">
      <c r="C96" s="32"/>
      <c r="D96" s="32" t="s">
        <v>106</v>
      </c>
      <c r="E96" s="32"/>
      <c r="F96" s="30"/>
      <c r="G96" s="30"/>
      <c r="H96" s="32" t="s">
        <v>107</v>
      </c>
      <c r="J96" s="32"/>
      <c r="K96" s="30"/>
      <c r="L96" s="30"/>
      <c r="M96" s="30"/>
    </row>
    <row r="97" spans="4:13" ht="18.75" x14ac:dyDescent="0.3">
      <c r="F97" s="30"/>
      <c r="G97" s="30"/>
      <c r="H97" s="30"/>
      <c r="J97" s="30"/>
      <c r="K97" s="30"/>
      <c r="L97" s="30"/>
      <c r="M97" s="30"/>
    </row>
    <row r="98" spans="4:13" ht="18.75" x14ac:dyDescent="0.25">
      <c r="D98" s="32"/>
    </row>
  </sheetData>
  <mergeCells count="10">
    <mergeCell ref="I95:L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61" zoomScaleNormal="100" workbookViewId="0">
      <selection activeCell="L83" sqref="L83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3" t="s">
        <v>110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5" ht="21" customHeight="1" x14ac:dyDescent="0.25">
      <c r="A3" s="55" t="s">
        <v>100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5" ht="15.75" x14ac:dyDescent="0.25">
      <c r="A4" s="47">
        <v>2025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5" ht="15.75" customHeight="1" x14ac:dyDescent="0.25">
      <c r="A5" s="42" t="s">
        <v>92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5" ht="15.75" customHeight="1" x14ac:dyDescent="0.25">
      <c r="A6" s="43" t="s">
        <v>77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14161002.27</v>
      </c>
      <c r="G10" s="25">
        <f t="shared" si="0"/>
        <v>14633628.66</v>
      </c>
      <c r="H10" s="25">
        <f t="shared" si="0"/>
        <v>14487741.35</v>
      </c>
      <c r="I10" s="25">
        <f>I11+I12+I15</f>
        <v>14606610.34</v>
      </c>
      <c r="J10" s="25">
        <f t="shared" si="0"/>
        <v>14413861.949999999</v>
      </c>
      <c r="K10" s="25">
        <f t="shared" si="0"/>
        <v>26646651.669999998</v>
      </c>
      <c r="L10" s="25">
        <f t="shared" si="0"/>
        <v>26615943.260000002</v>
      </c>
      <c r="M10" s="25">
        <f t="shared" si="0"/>
        <v>26135596.670000002</v>
      </c>
      <c r="N10" s="25">
        <f>SUM(B10:M10)</f>
        <v>223712219.31999993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12017703.73</v>
      </c>
      <c r="G11" s="24">
        <v>12484820.4</v>
      </c>
      <c r="H11" s="24">
        <v>12323850.119999999</v>
      </c>
      <c r="I11" s="24">
        <v>12426664.609999999</v>
      </c>
      <c r="J11" s="24">
        <v>12300509.1</v>
      </c>
      <c r="K11" s="24">
        <v>24519328.829999998</v>
      </c>
      <c r="L11" s="24">
        <v>24565564.300000001</v>
      </c>
      <c r="M11" s="24">
        <v>24024937.16</v>
      </c>
      <c r="N11" s="24">
        <f>SUM(B11:M11)</f>
        <v>198065732.41999999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333500</v>
      </c>
      <c r="J12" s="24">
        <v>333500</v>
      </c>
      <c r="K12" s="24">
        <v>333500</v>
      </c>
      <c r="L12" s="24">
        <v>317143</v>
      </c>
      <c r="M12" s="24">
        <v>317143</v>
      </c>
      <c r="N12" s="24">
        <f>SUM(B12:M12)</f>
        <v>3921286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1809798.54</v>
      </c>
      <c r="G15" s="24">
        <v>1815308.26</v>
      </c>
      <c r="H15" s="24">
        <v>1830391.23</v>
      </c>
      <c r="I15" s="24">
        <v>1846445.73</v>
      </c>
      <c r="J15" s="24">
        <v>1779852.85</v>
      </c>
      <c r="K15" s="24">
        <v>1793822.84</v>
      </c>
      <c r="L15" s="24">
        <v>1733235.96</v>
      </c>
      <c r="M15" s="24">
        <v>1793516.51</v>
      </c>
      <c r="N15" s="24">
        <f>SUM(B15:M15)</f>
        <v>21725200.900000002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4934694.6399999997</v>
      </c>
      <c r="F16" s="25">
        <f t="shared" si="1"/>
        <v>4598395.13</v>
      </c>
      <c r="G16" s="25">
        <f>G17+G18+G19+G20+G21+G22+G23+G24+G25</f>
        <v>10958809.609999999</v>
      </c>
      <c r="H16" s="25">
        <f t="shared" si="1"/>
        <v>5899027.2999999989</v>
      </c>
      <c r="I16" s="25">
        <f t="shared" si="1"/>
        <v>7031406.9400000004</v>
      </c>
      <c r="J16" s="25">
        <f>J17+J18+J19+J20+J21+J22+J23+J24+J25</f>
        <v>6198859.5</v>
      </c>
      <c r="K16" s="25">
        <f t="shared" ref="K16" si="2">K17+K18+K19+K20+K21+K22+K23+K24</f>
        <v>8760078.4000000004</v>
      </c>
      <c r="L16" s="25">
        <f>L17+L18+L19+L20+L21+L22+L23+L24+L25</f>
        <v>14279814.480000002</v>
      </c>
      <c r="M16" s="25">
        <f>M17+M18+M19+M20+M21+M22+M23+M24+M25</f>
        <v>14424407.59</v>
      </c>
      <c r="N16" s="25">
        <f>N17+N18+N19+N20+N21+N22+N23+N24+N25</f>
        <v>90757298.440000013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2135040.2400000002</v>
      </c>
      <c r="G17" s="24">
        <v>2180554.83</v>
      </c>
      <c r="H17" s="24">
        <v>2238851.15</v>
      </c>
      <c r="I17" s="24">
        <v>2378982.2200000002</v>
      </c>
      <c r="J17" s="24">
        <v>2211523.48</v>
      </c>
      <c r="K17" s="24">
        <v>2119783.59</v>
      </c>
      <c r="L17" s="24">
        <v>2104469.83</v>
      </c>
      <c r="M17" s="24">
        <v>1175375.42</v>
      </c>
      <c r="N17" s="24">
        <f>SUM(B17:M17)</f>
        <v>26807738.060000002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1500</v>
      </c>
      <c r="H18" s="24">
        <v>0</v>
      </c>
      <c r="I18" s="24">
        <v>16940</v>
      </c>
      <c r="J18" s="24">
        <v>14876.26</v>
      </c>
      <c r="K18" s="24">
        <v>0</v>
      </c>
      <c r="L18" s="24">
        <v>0</v>
      </c>
      <c r="M18" s="24">
        <v>1350</v>
      </c>
      <c r="N18" s="24">
        <f t="shared" ref="N18:N23" si="3">SUM(B18:M18)</f>
        <v>34666.26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76450</v>
      </c>
      <c r="G19" s="24">
        <v>93880</v>
      </c>
      <c r="H19" s="24">
        <v>341767.5</v>
      </c>
      <c r="I19" s="24">
        <v>172490</v>
      </c>
      <c r="J19" s="24">
        <v>501507.5</v>
      </c>
      <c r="K19" s="24">
        <v>2952235.51</v>
      </c>
      <c r="L19" s="24">
        <v>5581660</v>
      </c>
      <c r="M19" s="24">
        <v>814636.72</v>
      </c>
      <c r="N19" s="24">
        <f t="shared" si="3"/>
        <v>10906544.73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139000</v>
      </c>
      <c r="J20" s="24">
        <v>85010.240000000005</v>
      </c>
      <c r="K20" s="24">
        <v>0</v>
      </c>
      <c r="L20" s="24">
        <v>0</v>
      </c>
      <c r="M20" s="24">
        <v>224398.17</v>
      </c>
      <c r="N20" s="24">
        <f t="shared" si="3"/>
        <v>448408.41000000003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222971.8</v>
      </c>
      <c r="G21" s="24">
        <v>6930233.3300000001</v>
      </c>
      <c r="H21" s="24">
        <v>1543375.62</v>
      </c>
      <c r="I21" s="24">
        <v>2714921.83</v>
      </c>
      <c r="J21" s="24">
        <v>1254532.27</v>
      </c>
      <c r="K21" s="24">
        <v>2101477.34</v>
      </c>
      <c r="L21" s="24">
        <v>2900278</v>
      </c>
      <c r="M21" s="24">
        <v>4589882.87</v>
      </c>
      <c r="N21" s="24">
        <f t="shared" si="3"/>
        <v>22844302.470000003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1656841.75</v>
      </c>
      <c r="G22" s="24">
        <v>1464175.53</v>
      </c>
      <c r="H22" s="24">
        <v>850726.87</v>
      </c>
      <c r="I22" s="24">
        <v>1175041.5</v>
      </c>
      <c r="J22" s="24">
        <v>1231530.01</v>
      </c>
      <c r="K22" s="24">
        <v>1398967.97</v>
      </c>
      <c r="L22" s="24">
        <v>1034078.8</v>
      </c>
      <c r="M22" s="24">
        <v>1217149.33</v>
      </c>
      <c r="N22" s="24">
        <f t="shared" si="3"/>
        <v>15195018.65</v>
      </c>
    </row>
    <row r="23" spans="1:14" ht="27" customHeight="1" x14ac:dyDescent="0.25">
      <c r="A23" s="29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566400</v>
      </c>
      <c r="F23" s="24">
        <v>7620.8</v>
      </c>
      <c r="G23" s="24">
        <v>0</v>
      </c>
      <c r="H23" s="24">
        <v>149989.79999999999</v>
      </c>
      <c r="I23" s="24">
        <v>126800</v>
      </c>
      <c r="J23" s="24">
        <v>601564.30000000005</v>
      </c>
      <c r="K23" s="24">
        <v>161364</v>
      </c>
      <c r="L23" s="24">
        <v>64109.4</v>
      </c>
      <c r="M23" s="24">
        <v>1768487.75</v>
      </c>
      <c r="N23" s="24">
        <f t="shared" si="3"/>
        <v>4024311.85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179116</v>
      </c>
      <c r="G24" s="24">
        <v>73000</v>
      </c>
      <c r="H24" s="24">
        <v>454440.14</v>
      </c>
      <c r="I24" s="24">
        <v>60022</v>
      </c>
      <c r="J24" s="24">
        <v>86836.32</v>
      </c>
      <c r="K24" s="24">
        <v>26249.99</v>
      </c>
      <c r="L24" s="24">
        <v>2312803.98</v>
      </c>
      <c r="M24" s="24">
        <v>2830394.28</v>
      </c>
      <c r="N24" s="24">
        <f>SUM(B24:M24)</f>
        <v>6152598.2799999993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320354.53999999998</v>
      </c>
      <c r="G25" s="24">
        <v>215465.92</v>
      </c>
      <c r="H25" s="24">
        <v>319876.21999999997</v>
      </c>
      <c r="I25" s="24">
        <v>247209.39</v>
      </c>
      <c r="J25" s="24">
        <v>211479.12</v>
      </c>
      <c r="K25" s="24">
        <v>218496.31</v>
      </c>
      <c r="L25" s="24">
        <v>282414.46999999997</v>
      </c>
      <c r="M25" s="24">
        <v>1802733.05</v>
      </c>
      <c r="N25" s="24">
        <f>SUM(B25:M25)</f>
        <v>4343709.7299999995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959125.33000000007</v>
      </c>
      <c r="G26" s="25">
        <f t="shared" si="4"/>
        <v>1660734.6199999999</v>
      </c>
      <c r="H26" s="25">
        <f t="shared" si="4"/>
        <v>820380.08000000007</v>
      </c>
      <c r="I26" s="25">
        <f t="shared" si="4"/>
        <v>1108833.02</v>
      </c>
      <c r="J26" s="25">
        <f t="shared" si="4"/>
        <v>1226801.3</v>
      </c>
      <c r="K26" s="25">
        <f t="shared" si="4"/>
        <v>625733.68999999994</v>
      </c>
      <c r="L26" s="25">
        <f t="shared" si="4"/>
        <v>738409</v>
      </c>
      <c r="M26" s="25">
        <f t="shared" si="4"/>
        <v>2657870.91</v>
      </c>
      <c r="N26" s="25">
        <f t="shared" si="4"/>
        <v>13021299.940000001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18369.990000000002</v>
      </c>
      <c r="G27" s="24">
        <v>193898.2</v>
      </c>
      <c r="H27" s="24">
        <v>4740</v>
      </c>
      <c r="I27" s="24">
        <v>28880</v>
      </c>
      <c r="J27" s="24">
        <v>191111.62</v>
      </c>
      <c r="K27" s="24">
        <v>9840</v>
      </c>
      <c r="L27" s="24">
        <v>9780</v>
      </c>
      <c r="M27" s="24">
        <v>217877.21</v>
      </c>
      <c r="N27" s="24">
        <f t="shared" ref="N27:N37" si="5">SUM(B27:M27)</f>
        <v>742011.57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112930.58</v>
      </c>
      <c r="I28" s="24">
        <v>0</v>
      </c>
      <c r="J28" s="24">
        <v>777.9</v>
      </c>
      <c r="K28" s="24">
        <v>0</v>
      </c>
      <c r="L28" s="24">
        <v>173401</v>
      </c>
      <c r="M28" s="24">
        <v>0</v>
      </c>
      <c r="N28" s="24">
        <f t="shared" si="5"/>
        <v>287109.48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19352</v>
      </c>
      <c r="G29" s="24">
        <v>52038</v>
      </c>
      <c r="H29" s="24">
        <v>11475</v>
      </c>
      <c r="I29" s="24">
        <v>3100</v>
      </c>
      <c r="J29" s="24">
        <v>252157.83</v>
      </c>
      <c r="K29" s="24">
        <v>19617.5</v>
      </c>
      <c r="L29" s="24">
        <v>29500</v>
      </c>
      <c r="M29" s="24">
        <v>118225.84</v>
      </c>
      <c r="N29" s="24">
        <f t="shared" si="5"/>
        <v>536712.56999999995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7168.5</v>
      </c>
      <c r="G31" s="24">
        <v>140618.23999999999</v>
      </c>
      <c r="H31" s="24">
        <v>0</v>
      </c>
      <c r="I31" s="24">
        <v>0</v>
      </c>
      <c r="J31" s="24">
        <v>14750.72</v>
      </c>
      <c r="K31" s="24">
        <v>0</v>
      </c>
      <c r="L31" s="24">
        <v>0</v>
      </c>
      <c r="M31" s="24">
        <v>6830.39</v>
      </c>
      <c r="N31" s="24">
        <f t="shared" si="5"/>
        <v>169367.85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4405.29</v>
      </c>
      <c r="G32" s="24">
        <v>11303.25</v>
      </c>
      <c r="H32" s="24">
        <v>111650</v>
      </c>
      <c r="I32" s="24">
        <v>4036.78</v>
      </c>
      <c r="J32" s="24">
        <v>30719.26</v>
      </c>
      <c r="K32" s="24">
        <v>1534</v>
      </c>
      <c r="L32" s="24">
        <v>0</v>
      </c>
      <c r="M32" s="24">
        <v>11295.45</v>
      </c>
      <c r="N32" s="24">
        <f t="shared" si="5"/>
        <v>178492.43000000002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673924.61</v>
      </c>
      <c r="G33" s="24">
        <v>1015975.24</v>
      </c>
      <c r="H33" s="24">
        <v>512000</v>
      </c>
      <c r="I33" s="24">
        <v>913515.72</v>
      </c>
      <c r="J33" s="24">
        <v>486175.53</v>
      </c>
      <c r="K33" s="24">
        <v>484500</v>
      </c>
      <c r="L33" s="24">
        <v>479000</v>
      </c>
      <c r="M33" s="24">
        <v>2000241.73</v>
      </c>
      <c r="N33" s="24">
        <f t="shared" si="5"/>
        <v>9542695.1500000004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235904.94</v>
      </c>
      <c r="G35" s="24">
        <v>246901.69</v>
      </c>
      <c r="H35" s="24">
        <v>67584.5</v>
      </c>
      <c r="I35" s="24">
        <v>159300.51999999999</v>
      </c>
      <c r="J35" s="24">
        <v>251108.44</v>
      </c>
      <c r="K35" s="24">
        <v>110242.19</v>
      </c>
      <c r="L35" s="24">
        <v>46728</v>
      </c>
      <c r="M35" s="24">
        <v>303400.28999999998</v>
      </c>
      <c r="N35" s="24">
        <f t="shared" si="5"/>
        <v>1564910.89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24721</v>
      </c>
      <c r="G52" s="25">
        <f>G54+G53+G56+G57</f>
        <v>78242.290000000008</v>
      </c>
      <c r="H52" s="25">
        <f>H53+H57</f>
        <v>0</v>
      </c>
      <c r="I52" s="25">
        <f>I53+I57</f>
        <v>118631.54</v>
      </c>
      <c r="J52" s="25">
        <f>J53+J54</f>
        <v>0</v>
      </c>
      <c r="K52" s="25">
        <f>K53</f>
        <v>177343.5</v>
      </c>
      <c r="L52" s="25">
        <f>L53+L57</f>
        <v>94300.9</v>
      </c>
      <c r="M52" s="25">
        <f>M53+M54+M57</f>
        <v>105374</v>
      </c>
      <c r="N52" s="25">
        <f t="shared" ref="N52:N57" si="8">SUM(B52:M52)</f>
        <v>1441109.5699999998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24721</v>
      </c>
      <c r="G53" s="24">
        <v>76934.3</v>
      </c>
      <c r="H53" s="24">
        <v>0</v>
      </c>
      <c r="I53" s="24">
        <v>103291.54</v>
      </c>
      <c r="J53" s="24">
        <v>0</v>
      </c>
      <c r="K53" s="24">
        <v>177343.5</v>
      </c>
      <c r="L53" s="24">
        <v>4578.3999999999996</v>
      </c>
      <c r="M53" s="24">
        <v>105374</v>
      </c>
      <c r="N53" s="24">
        <f t="shared" si="8"/>
        <v>1294739.08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1307.99</v>
      </c>
      <c r="H57" s="24">
        <v>0</v>
      </c>
      <c r="I57" s="24">
        <v>15340</v>
      </c>
      <c r="J57" s="24">
        <v>0</v>
      </c>
      <c r="K57" s="24">
        <v>0</v>
      </c>
      <c r="L57" s="24">
        <v>89722.5</v>
      </c>
      <c r="M57" s="24">
        <v>0</v>
      </c>
      <c r="N57" s="24">
        <f t="shared" si="8"/>
        <v>106370.49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32521576.899999999</v>
      </c>
      <c r="F83" s="26">
        <f>F52+F16+F10+F26</f>
        <v>19743243.729999997</v>
      </c>
      <c r="G83" s="26">
        <f>G52+G16+G10+G26</f>
        <v>27331415.18</v>
      </c>
      <c r="H83" s="26">
        <f>H52+H16+H10+H26</f>
        <v>21207148.729999997</v>
      </c>
      <c r="I83" s="26">
        <f>I52+I26+I16+I10</f>
        <v>22865481.84</v>
      </c>
      <c r="J83" s="26">
        <f>J52+J26+J16+J10</f>
        <v>21839522.75</v>
      </c>
      <c r="K83" s="26">
        <f>K52+K16+K10+K26</f>
        <v>36209807.259999998</v>
      </c>
      <c r="L83" s="26">
        <f>L52+L16+L10+L26</f>
        <v>41728467.640000001</v>
      </c>
      <c r="M83" s="26">
        <f>M10+M16+M52+M26</f>
        <v>43323249.170000002</v>
      </c>
      <c r="N83" s="26">
        <f>N52+N26+N16+N10+N36</f>
        <v>328955927.26999998</v>
      </c>
    </row>
    <row r="84" spans="1:14" x14ac:dyDescent="0.25">
      <c r="A84" s="38" t="s">
        <v>111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108</v>
      </c>
      <c r="F88" s="36"/>
      <c r="G88" s="40" t="s">
        <v>112</v>
      </c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109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2026-01-13T15:41:45Z</cp:lastPrinted>
  <dcterms:created xsi:type="dcterms:W3CDTF">2021-07-29T18:58:50Z</dcterms:created>
  <dcterms:modified xsi:type="dcterms:W3CDTF">2026-01-13T16:01:25Z</dcterms:modified>
</cp:coreProperties>
</file>