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5\"/>
    </mc:Choice>
  </mc:AlternateContent>
  <xr:revisionPtr revIDLastSave="0" documentId="13_ncr:1_{574D2127-00E8-4811-9536-1E2C5D22D54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Titles" localSheetId="1">'P2 Presupuesto Aprobado-Ejec '!$1:$7</definedName>
    <definedName name="_xlnm.Print_Titles" localSheetId="2">'P3 Ejecucion 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4" i="2" l="1"/>
  <c r="L52" i="3"/>
  <c r="N27" i="2"/>
  <c r="N22" i="2"/>
  <c r="N20" i="2"/>
  <c r="N16" i="2"/>
  <c r="N14" i="2"/>
  <c r="M52" i="2"/>
  <c r="M34" i="2"/>
  <c r="M24" i="2"/>
  <c r="M23" i="2"/>
  <c r="M22" i="2"/>
  <c r="M20" i="2"/>
  <c r="M18" i="2"/>
  <c r="M16" i="2"/>
  <c r="M10" i="2"/>
  <c r="M14" i="2"/>
  <c r="L34" i="2"/>
  <c r="L32" i="2"/>
  <c r="L31" i="2"/>
  <c r="L30" i="2"/>
  <c r="L23" i="2"/>
  <c r="L22" i="2"/>
  <c r="L21" i="2"/>
  <c r="L20" i="2"/>
  <c r="L19" i="2"/>
  <c r="L16" i="2"/>
  <c r="L10" i="2"/>
  <c r="L14" i="2"/>
  <c r="I52" i="3"/>
  <c r="K34" i="2"/>
  <c r="K32" i="2"/>
  <c r="K31" i="2"/>
  <c r="K23" i="2"/>
  <c r="K22" i="2"/>
  <c r="K20" i="2"/>
  <c r="K16" i="2"/>
  <c r="K10" i="2"/>
  <c r="K14" i="2"/>
  <c r="I24" i="2"/>
  <c r="J34" i="2"/>
  <c r="J23" i="2"/>
  <c r="J20" i="2"/>
  <c r="J16" i="2"/>
  <c r="J14" i="2"/>
  <c r="I34" i="2"/>
  <c r="I32" i="2"/>
  <c r="I31" i="2"/>
  <c r="I20" i="2"/>
  <c r="I16" i="2"/>
  <c r="I10" i="2"/>
  <c r="I14" i="2"/>
  <c r="M15" i="2" l="1"/>
  <c r="H34" i="2"/>
  <c r="H32" i="2"/>
  <c r="H31" i="2"/>
  <c r="H20" i="2"/>
  <c r="H23" i="2"/>
  <c r="H21" i="2"/>
  <c r="H16" i="2"/>
  <c r="H10" i="2"/>
  <c r="H14" i="2"/>
  <c r="E16" i="3"/>
  <c r="E21" i="3"/>
  <c r="H15" i="2" l="1"/>
  <c r="G34" i="2"/>
  <c r="G23" i="2"/>
  <c r="G21" i="2"/>
  <c r="G16" i="2"/>
  <c r="G14" i="2"/>
  <c r="P59" i="2" l="1"/>
  <c r="F51" i="2"/>
  <c r="D52" i="3"/>
  <c r="D83" i="3" s="1"/>
  <c r="D24" i="3"/>
  <c r="E52" i="3"/>
  <c r="D26" i="3"/>
  <c r="C26" i="3"/>
  <c r="D35" i="3"/>
  <c r="D33" i="3"/>
  <c r="D32" i="3"/>
  <c r="D23" i="3"/>
  <c r="D21" i="3"/>
  <c r="D17" i="3"/>
  <c r="D15" i="3"/>
  <c r="D11" i="3"/>
  <c r="E23" i="2"/>
  <c r="E16" i="2" l="1"/>
  <c r="E14" i="2"/>
  <c r="E10" i="2"/>
  <c r="D16" i="2"/>
  <c r="D10" i="2"/>
  <c r="D14" i="2"/>
  <c r="E54" i="1"/>
  <c r="L16" i="3" l="1"/>
  <c r="N55" i="3"/>
  <c r="N61" i="3"/>
  <c r="N60" i="3"/>
  <c r="N59" i="3"/>
  <c r="N58" i="3"/>
  <c r="N51" i="2"/>
  <c r="N15" i="2"/>
  <c r="J52" i="3"/>
  <c r="J26" i="3"/>
  <c r="J16" i="3"/>
  <c r="L51" i="2"/>
  <c r="L15" i="2"/>
  <c r="C51" i="2"/>
  <c r="G16" i="3"/>
  <c r="G52" i="3"/>
  <c r="I15" i="2"/>
  <c r="G26" i="3" l="1"/>
  <c r="F26" i="3"/>
  <c r="F52" i="3"/>
  <c r="F16" i="3"/>
  <c r="H51" i="2"/>
  <c r="P36" i="2"/>
  <c r="E26" i="3"/>
  <c r="G15" i="2" l="1"/>
  <c r="E15" i="2"/>
  <c r="E18" i="1" l="1"/>
  <c r="F15" i="2"/>
  <c r="N37" i="3" l="1"/>
  <c r="D16" i="3"/>
  <c r="B16" i="3" l="1"/>
  <c r="B9" i="2"/>
  <c r="D15" i="2"/>
  <c r="C16" i="3"/>
  <c r="D28" i="1"/>
  <c r="D12" i="1"/>
  <c r="M16" i="3"/>
  <c r="M26" i="3"/>
  <c r="M52" i="3"/>
  <c r="O15" i="2"/>
  <c r="K26" i="3"/>
  <c r="P33" i="2"/>
  <c r="P56" i="2"/>
  <c r="P55" i="2"/>
  <c r="P54" i="2"/>
  <c r="H16" i="3" l="1"/>
  <c r="H52" i="3"/>
  <c r="H26" i="3"/>
  <c r="J15" i="2"/>
  <c r="N62" i="3"/>
  <c r="N45" i="3"/>
  <c r="N36" i="3"/>
  <c r="M62" i="3"/>
  <c r="L62" i="3"/>
  <c r="K62" i="3"/>
  <c r="J62" i="3"/>
  <c r="I62" i="3"/>
  <c r="H62" i="3"/>
  <c r="G62" i="3"/>
  <c r="F62" i="3"/>
  <c r="E62" i="3"/>
  <c r="D62" i="3"/>
  <c r="C62" i="3"/>
  <c r="B62" i="3"/>
  <c r="M45" i="3"/>
  <c r="L45" i="3"/>
  <c r="K45" i="3"/>
  <c r="J45" i="3"/>
  <c r="I45" i="3"/>
  <c r="H45" i="3"/>
  <c r="G45" i="3"/>
  <c r="F45" i="3"/>
  <c r="E45" i="3"/>
  <c r="D45" i="3"/>
  <c r="C45" i="3"/>
  <c r="B45" i="3"/>
  <c r="M36" i="3"/>
  <c r="L36" i="3"/>
  <c r="K36" i="3"/>
  <c r="J36" i="3"/>
  <c r="I36" i="3"/>
  <c r="H36" i="3"/>
  <c r="G36" i="3"/>
  <c r="F36" i="3"/>
  <c r="E36" i="3"/>
  <c r="D36" i="3"/>
  <c r="C36" i="3"/>
  <c r="B36" i="3"/>
  <c r="N12" i="3" l="1"/>
  <c r="N15" i="3"/>
  <c r="N57" i="3"/>
  <c r="N56" i="3"/>
  <c r="K52" i="3"/>
  <c r="C52" i="3"/>
  <c r="B52" i="3"/>
  <c r="B26" i="3"/>
  <c r="B15" i="2"/>
  <c r="D18" i="1" l="1"/>
  <c r="M10" i="3"/>
  <c r="O51" i="2"/>
  <c r="C35" i="2"/>
  <c r="C15" i="2"/>
  <c r="N54" i="3"/>
  <c r="L26" i="3"/>
  <c r="L10" i="3"/>
  <c r="I16" i="3"/>
  <c r="I10" i="3"/>
  <c r="I26" i="3"/>
  <c r="K10" i="3"/>
  <c r="N35" i="3"/>
  <c r="N33" i="3"/>
  <c r="N32" i="3"/>
  <c r="N31" i="3"/>
  <c r="N30" i="3"/>
  <c r="N29" i="3"/>
  <c r="N28" i="3"/>
  <c r="N27" i="3"/>
  <c r="N53" i="3"/>
  <c r="N25" i="3"/>
  <c r="K16" i="3"/>
  <c r="N24" i="3"/>
  <c r="N23" i="3"/>
  <c r="N22" i="3"/>
  <c r="N21" i="3"/>
  <c r="N20" i="3"/>
  <c r="N19" i="3"/>
  <c r="N18" i="3"/>
  <c r="N17" i="3"/>
  <c r="J10" i="3"/>
  <c r="J83" i="3" s="1"/>
  <c r="H10" i="3"/>
  <c r="H83" i="3" s="1"/>
  <c r="G10" i="3"/>
  <c r="G83" i="3" s="1"/>
  <c r="F10" i="3"/>
  <c r="F83" i="3" s="1"/>
  <c r="E10" i="3"/>
  <c r="D10" i="3"/>
  <c r="C10" i="3"/>
  <c r="B10" i="3"/>
  <c r="N11" i="3"/>
  <c r="P53" i="2"/>
  <c r="P52" i="2"/>
  <c r="M51" i="2"/>
  <c r="K51" i="2"/>
  <c r="J51" i="2"/>
  <c r="I51" i="2"/>
  <c r="P28" i="2"/>
  <c r="P34" i="2"/>
  <c r="P32" i="2"/>
  <c r="P31" i="2"/>
  <c r="P30" i="2"/>
  <c r="P29" i="2"/>
  <c r="P27" i="2"/>
  <c r="P26" i="2"/>
  <c r="P24" i="2"/>
  <c r="P22" i="2"/>
  <c r="P19" i="2"/>
  <c r="P18" i="2"/>
  <c r="P17" i="2"/>
  <c r="K15" i="2"/>
  <c r="P23" i="2"/>
  <c r="P21" i="2"/>
  <c r="P20" i="2"/>
  <c r="P16" i="2"/>
  <c r="P14" i="2"/>
  <c r="P11" i="2"/>
  <c r="P10" i="2"/>
  <c r="G51" i="2"/>
  <c r="E51" i="2"/>
  <c r="D51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O25" i="2"/>
  <c r="N25" i="2"/>
  <c r="M25" i="2"/>
  <c r="L25" i="2"/>
  <c r="K25" i="2"/>
  <c r="J25" i="2"/>
  <c r="I25" i="2"/>
  <c r="H25" i="2"/>
  <c r="G25" i="2"/>
  <c r="F25" i="2"/>
  <c r="E25" i="2"/>
  <c r="D25" i="2"/>
  <c r="O9" i="2"/>
  <c r="N9" i="2"/>
  <c r="M9" i="2"/>
  <c r="L9" i="2"/>
  <c r="K9" i="2"/>
  <c r="J9" i="2"/>
  <c r="I9" i="2"/>
  <c r="H9" i="2"/>
  <c r="G9" i="2"/>
  <c r="F9" i="2"/>
  <c r="E9" i="2"/>
  <c r="D9" i="2"/>
  <c r="B51" i="2"/>
  <c r="B35" i="2"/>
  <c r="C25" i="2"/>
  <c r="B25" i="2"/>
  <c r="C9" i="2"/>
  <c r="C82" i="2" l="1"/>
  <c r="P9" i="2"/>
  <c r="K83" i="3"/>
  <c r="E83" i="3"/>
  <c r="C83" i="3"/>
  <c r="B83" i="3"/>
  <c r="M83" i="3"/>
  <c r="L83" i="3"/>
  <c r="B82" i="2"/>
  <c r="P51" i="2"/>
  <c r="I83" i="3"/>
  <c r="N26" i="3"/>
  <c r="N10" i="3"/>
  <c r="N16" i="3"/>
  <c r="N52" i="3"/>
  <c r="P25" i="2"/>
  <c r="F82" i="2"/>
  <c r="G82" i="2"/>
  <c r="P15" i="2"/>
  <c r="O82" i="2"/>
  <c r="I82" i="2"/>
  <c r="M82" i="2"/>
  <c r="N82" i="2"/>
  <c r="H82" i="2"/>
  <c r="L82" i="2"/>
  <c r="K82" i="2"/>
  <c r="J82" i="2"/>
  <c r="E82" i="2"/>
  <c r="D82" i="2"/>
  <c r="D54" i="1"/>
  <c r="E38" i="1"/>
  <c r="D38" i="1"/>
  <c r="E28" i="1"/>
  <c r="E12" i="1"/>
  <c r="E85" i="1" l="1"/>
  <c r="N83" i="3"/>
  <c r="D85" i="1"/>
  <c r="P82" i="2"/>
</calcChain>
</file>

<file path=xl/sharedStrings.xml><?xml version="1.0" encoding="utf-8"?>
<sst xmlns="http://schemas.openxmlformats.org/spreadsheetml/2006/main" count="293" uniqueCount="113">
  <si>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</si>
  <si>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</si>
  <si>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</si>
  <si>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</si>
  <si>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</si>
  <si>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</si>
  <si>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</si>
  <si>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</si>
  <si>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</si>
  <si>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</si>
  <si>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</si>
  <si>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</si>
  <si>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</si>
  <si>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</si>
  <si>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</si>
  <si>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</si>
  <si>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</si>
  <si>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</si>
  <si>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</si>
  <si>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</si>
  <si>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</si>
  <si>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</si>
  <si>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</si>
  <si>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</si>
  <si>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</si>
  <si>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</si>
  <si>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</si>
  <si>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</si>
  <si>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</si>
  <si>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</si>
  <si>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</si>
  <si>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</si>
  <si>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</si>
  <si>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</si>
  <si>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</si>
  <si>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</si>
  <si>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</si>
  <si>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</si>
  <si>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</si>
  <si>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</si>
  <si>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</si>
  <si>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</si>
  <si>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</si>
  <si>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</si>
  <si>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</si>
  <si>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</si>
  <si>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</si>
  <si>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</si>
  <si>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</si>
  <si>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</si>
  <si>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</si>
  <si>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</si>
  <si>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</si>
  <si>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</si>
  <si>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</si>
  <si>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</si>
  <si>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</si>
  <si>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</si>
  <si>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</si>
  <si>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</si>
  <si>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</si>
  <si>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</si>
  <si>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</si>
  <si>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</si>
  <si>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</si>
  <si>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</si>
  <si>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</si>
  <si>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</si>
  <si>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</si>
  <si>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</si>
  <si>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</si>
  <si>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</si>
  <si>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</si>
  <si>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</si>
  <si>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</si>
  <si>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</si>
  <si>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</si>
  <si>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</si>
  <si>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</si>
  <si>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</si>
  <si>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</si>
  <si>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</si>
  <si>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</si>
  <si>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</si>
  <si>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</si>
  <si>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</si>
  <si>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</si>
  <si>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</si>
  <si>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</si>
  <si>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</si>
  <si>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</si>
  <si>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</si>
  <si>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</si>
  <si>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</si>
  <si>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</si>
  <si>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</si>
  <si>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</si>
  <si>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</si>
  <si>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SISTEMA UNICO DE BENEFICIARIOS (SIUBEN)</t>
  </si>
  <si>
    <t xml:space="preserve">SISTEMA UNICO DE BENERICIARIOS </t>
  </si>
  <si>
    <t>SISTEMA UNICO DE BENEFICIARIOS</t>
  </si>
  <si>
    <t xml:space="preserve">                                                                                                                             Preparado por:</t>
  </si>
  <si>
    <t xml:space="preserve">                                                                                                                             Autorizado por:</t>
  </si>
  <si>
    <t xml:space="preserve">                                                                                                                              _____________________________</t>
  </si>
  <si>
    <t xml:space="preserve">                                                                                                                      Thelbia Fernández</t>
  </si>
  <si>
    <t xml:space="preserve">                                                                                                                      Giselle Feliz García</t>
  </si>
  <si>
    <t xml:space="preserve">                                                                                                                      Analista de Presupuesto – SIUBEN</t>
  </si>
  <si>
    <t xml:space="preserve">                                                                                                                      Director  Administrativo y Financiero</t>
  </si>
  <si>
    <t xml:space="preserve">                                                                                                                 Humberto Méndez</t>
  </si>
  <si>
    <t xml:space="preserve">                                                                                                                     Director Administrativo y Financiero </t>
  </si>
  <si>
    <t>GOBIERNO DE LA REPUBLICA DOMINICANA</t>
  </si>
  <si>
    <t>Nota: Reintegros por devolución de subsidio enfermedad común RD$0</t>
  </si>
  <si>
    <t xml:space="preserve">Freidy Hinojosa Sánchez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</si>
</sst>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rgb="FF000000"/>
      <name val="Calibri"/>
      <family val="2"/>
    </font>
    <font>
      <b/>
      <i/>
      <sz val="14"/>
      <color rgb="FF000000"/>
      <name val="Calibri"/>
      <family val="2"/>
    </font>
    <font>
      <i/>
      <sz val="14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i/>
      <sz val="11"/>
      <name val="Gotham"/>
    </font>
    <font>
      <b/>
      <i/>
      <sz val="11"/>
      <color theme="0"/>
      <name val="Gotham"/>
    </font>
    <font>
      <b/>
      <sz val="11"/>
      <color theme="1"/>
      <name val="Gotham"/>
    </font>
    <font>
      <sz val="16"/>
      <color theme="1"/>
      <name val="Calibri"/>
      <family val="2"/>
      <scheme val="minor"/>
    </font>
    <font>
      <i/>
      <sz val="12"/>
      <color rgb="FF000000"/>
      <name val="Calibri"/>
      <family val="2"/>
    </font>
    <font>
      <b/>
      <i/>
      <sz val="12"/>
      <color rgb="FF000000"/>
      <name val="Calibri"/>
      <family val="2"/>
    </font>
    <font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2" fillId="4" borderId="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4" fontId="2" fillId="2" borderId="2" xfId="0" applyNumberFormat="1" applyFont="1" applyFill="1" applyBorder="1"/>
    <xf numFmtId="4" fontId="0" fillId="0" borderId="0" xfId="0" applyNumberFormat="1"/>
    <xf numFmtId="4" fontId="3" fillId="0" borderId="0" xfId="0" applyNumberFormat="1" applyFont="1"/>
    <xf numFmtId="39" fontId="2" fillId="2" borderId="2" xfId="0" applyNumberFormat="1" applyFont="1" applyFill="1" applyBorder="1"/>
    <xf numFmtId="4" fontId="2" fillId="2" borderId="2" xfId="0" applyNumberFormat="1" applyFont="1" applyFill="1" applyBorder="1"/>
    <xf numFmtId="0" fontId="0" fillId="0" borderId="0" xfId="0" applyAlignment="1">
      <alignment horizontal="left" wrapText="1" indent="2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17" fillId="0" borderId="0" xfId="0" applyFont="1"/>
    <xf numFmtId="0" fontId="6" fillId="0" borderId="0" xfId="0" applyFont="1"/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/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left" indent="1"/>
    </xf>
    <xf numFmtId="4" fontId="22" fillId="0" borderId="0" xfId="0" applyNumberFormat="1" applyFont="1"/>
    <xf numFmtId="0" fontId="23" fillId="0" borderId="0" xfId="0" applyFont="1"/>
    <xf numFmtId="0" fontId="23" fillId="0" borderId="0" xfId="0" applyFont="1" applyAlignment="1">
      <alignment horizontal="left" indent="2"/>
    </xf>
    <xf numFmtId="4" fontId="23" fillId="0" borderId="0" xfId="0" applyNumberFormat="1" applyFont="1"/>
    <xf numFmtId="0" fontId="23" fillId="0" borderId="9" xfId="0" applyFont="1" applyBorder="1"/>
    <xf numFmtId="0" fontId="23" fillId="0" borderId="0" xfId="0" applyFont="1" applyAlignment="1">
      <alignment horizontal="left" wrapText="1" indent="2"/>
    </xf>
    <xf numFmtId="0" fontId="22" fillId="0" borderId="1" xfId="0" applyFont="1" applyBorder="1" applyAlignment="1">
      <alignment horizontal="left"/>
    </xf>
    <xf numFmtId="4" fontId="22" fillId="0" borderId="1" xfId="0" applyNumberFormat="1" applyFont="1" applyBorder="1"/>
    <xf numFmtId="0" fontId="24" fillId="0" borderId="5" xfId="0" applyFont="1" applyBorder="1" applyAlignment="1">
      <alignment horizontal="center" vertical="top" wrapText="1" readingOrder="1"/>
    </xf>
    <xf numFmtId="0" fontId="24" fillId="0" borderId="0" xfId="0" applyFont="1" applyAlignment="1">
      <alignment horizontal="center" vertical="top" wrapText="1" readingOrder="1"/>
    </xf>
    <xf numFmtId="0" fontId="24" fillId="0" borderId="5" xfId="0" applyFont="1" applyBorder="1" applyAlignment="1">
      <alignment horizontal="center" vertical="center" wrapText="1" readingOrder="1"/>
    </xf>
    <xf numFmtId="0" fontId="24" fillId="0" borderId="0" xfId="0" applyFont="1" applyAlignment="1">
      <alignment horizontal="center" vertical="center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3</xdr:col>
      <xdr:colOff>895351</xdr:colOff>
      <xdr:row>1</xdr:row>
      <xdr:rowOff>123825</xdr:rowOff>
    </xdr:from>
    <xdr:to>
      <xdr:col>5</xdr:col>
      <xdr:colOff>211612</xdr:colOff>
      <xdr:row>5</xdr:row>
      <xdr:rowOff>145050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E5775E90-B854-4179-B077-1E90D1ADF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77376" y="314325"/>
          <a:ext cx="1602261" cy="104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9526</xdr:rowOff>
    </xdr:from>
    <xdr:to>
      <xdr:col>15</xdr:col>
      <xdr:colOff>609600</xdr:colOff>
      <xdr:row>4</xdr:row>
      <xdr:rowOff>133350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4544676" y="9526"/>
          <a:ext cx="1695449" cy="9429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13</xdr:col>
      <xdr:colOff>742952</xdr:colOff>
      <xdr:row>0</xdr:row>
      <xdr:rowOff>0</xdr:rowOff>
    </xdr:from>
    <xdr:to>
      <xdr:col>15</xdr:col>
      <xdr:colOff>504826</xdr:colOff>
      <xdr:row>4</xdr:row>
      <xdr:rowOff>139507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5D018C60-409D-4A1F-870D-8A74054A09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58977" y="0"/>
          <a:ext cx="1476374" cy="9586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647700</xdr:colOff>
      <xdr:row>1</xdr:row>
      <xdr:rowOff>171450</xdr:rowOff>
    </xdr:from>
    <xdr:to>
      <xdr:col>13</xdr:col>
      <xdr:colOff>676274</xdr:colOff>
      <xdr:row>4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4687550" y="361950"/>
          <a:ext cx="19430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11</xdr:col>
      <xdr:colOff>647701</xdr:colOff>
      <xdr:row>0</xdr:row>
      <xdr:rowOff>76200</xdr:rowOff>
    </xdr:from>
    <xdr:to>
      <xdr:col>13</xdr:col>
      <xdr:colOff>335437</xdr:colOff>
      <xdr:row>4</xdr:row>
      <xdr:rowOff>97425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F3CF21B3-2F1B-4CBF-9114-D49B204BC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82776" y="76200"/>
          <a:ext cx="1602261" cy="1040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93"/>
  <sheetViews>
    <sheetView showGridLines="0" topLeftCell="A10" workbookViewId="0">
      <selection activeCell="D71" sqref="D71"/>
    </sheetView>
  </sheetViews>
  <sheetFormatPr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39" t="s">
        <v>110</v>
      </c>
      <c r="D3" s="39"/>
      <c r="E3" s="39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39" t="s">
        <v>98</v>
      </c>
      <c r="D4" s="39"/>
      <c r="E4" s="39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45">
        <v>2025</v>
      </c>
      <c r="D5" s="46"/>
      <c r="E5" s="46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40" t="s">
        <v>76</v>
      </c>
      <c r="D6" s="41"/>
      <c r="E6" s="41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40" t="s">
        <v>77</v>
      </c>
      <c r="D7" s="41"/>
      <c r="E7" s="41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9" spans="2:16" ht="15" customHeight="1" x14ac:dyDescent="0.25">
      <c r="C9" s="42" t="s">
        <v>66</v>
      </c>
      <c r="D9" s="43" t="s">
        <v>94</v>
      </c>
      <c r="E9" s="43" t="s">
        <v>93</v>
      </c>
      <c r="F9" s="8"/>
    </row>
    <row r="10" spans="2:16" ht="23.25" customHeight="1" x14ac:dyDescent="0.25">
      <c r="C10" s="42"/>
      <c r="D10" s="44"/>
      <c r="E10" s="44"/>
      <c r="F10" s="8"/>
    </row>
    <row r="11" spans="2:16" x14ac:dyDescent="0.25">
      <c r="C11" s="1" t="s">
        <v>0</v>
      </c>
      <c r="D11" s="2"/>
      <c r="E11" s="2"/>
      <c r="F11" s="8"/>
    </row>
    <row r="12" spans="2:16" x14ac:dyDescent="0.25">
      <c r="C12" s="3" t="s">
        <v>1</v>
      </c>
      <c r="D12" s="4">
        <f>D13+D14+D17</f>
        <v>217601998</v>
      </c>
      <c r="E12" s="4">
        <f>E13+E14+E17</f>
        <v>223601998</v>
      </c>
      <c r="F12" s="8"/>
    </row>
    <row r="13" spans="2:16" x14ac:dyDescent="0.25">
      <c r="C13" s="5" t="s">
        <v>2</v>
      </c>
      <c r="D13" s="6">
        <v>166834000</v>
      </c>
      <c r="E13" s="6">
        <v>161938725.66999999</v>
      </c>
      <c r="F13" s="8"/>
    </row>
    <row r="14" spans="2:16" x14ac:dyDescent="0.25">
      <c r="C14" s="5" t="s">
        <v>3</v>
      </c>
      <c r="D14" s="6">
        <v>28302000</v>
      </c>
      <c r="E14" s="6">
        <v>39931733.909999996</v>
      </c>
      <c r="F14" s="8"/>
    </row>
    <row r="15" spans="2:16" x14ac:dyDescent="0.25">
      <c r="C15" s="5" t="s">
        <v>4</v>
      </c>
      <c r="D15" s="6"/>
      <c r="F15" s="8"/>
    </row>
    <row r="16" spans="2:16" x14ac:dyDescent="0.25">
      <c r="C16" s="5" t="s">
        <v>5</v>
      </c>
      <c r="D16" s="6"/>
      <c r="F16" s="8"/>
    </row>
    <row r="17" spans="3:6" x14ac:dyDescent="0.25">
      <c r="C17" s="5" t="s">
        <v>6</v>
      </c>
      <c r="D17" s="6">
        <v>22465998</v>
      </c>
      <c r="E17" s="6">
        <v>21731538.420000002</v>
      </c>
      <c r="F17" s="8"/>
    </row>
    <row r="18" spans="3:6" x14ac:dyDescent="0.25">
      <c r="C18" s="3" t="s">
        <v>7</v>
      </c>
      <c r="D18" s="4">
        <f>D19+D20+D21+D22+D23+D24+D25+D26+D27</f>
        <v>78896590</v>
      </c>
      <c r="E18" s="4">
        <f>E19+E20+E21+E22+E23+E24+E25+E26+E27</f>
        <v>100815749.77999999</v>
      </c>
      <c r="F18" s="8"/>
    </row>
    <row r="19" spans="3:6" x14ac:dyDescent="0.25">
      <c r="C19" s="5" t="s">
        <v>8</v>
      </c>
      <c r="D19" s="6">
        <v>27452090</v>
      </c>
      <c r="E19" s="6">
        <v>27833699.91</v>
      </c>
      <c r="F19" s="8"/>
    </row>
    <row r="20" spans="3:6" x14ac:dyDescent="0.25">
      <c r="C20" s="5" t="s">
        <v>9</v>
      </c>
      <c r="D20" s="6">
        <v>215000</v>
      </c>
      <c r="E20" s="6">
        <v>206350</v>
      </c>
      <c r="F20" s="8"/>
    </row>
    <row r="21" spans="3:6" x14ac:dyDescent="0.25">
      <c r="C21" s="5" t="s">
        <v>10</v>
      </c>
      <c r="D21" s="6">
        <v>3700000</v>
      </c>
      <c r="E21" s="6">
        <v>12244550</v>
      </c>
      <c r="F21" s="8"/>
    </row>
    <row r="22" spans="3:6" x14ac:dyDescent="0.25">
      <c r="C22" s="5" t="s">
        <v>11</v>
      </c>
      <c r="D22" s="6">
        <v>1720000</v>
      </c>
      <c r="E22" s="6">
        <v>1140878.17</v>
      </c>
      <c r="F22" s="8"/>
    </row>
    <row r="23" spans="3:6" x14ac:dyDescent="0.25">
      <c r="C23" s="5" t="s">
        <v>12</v>
      </c>
      <c r="D23" s="6">
        <v>23404000</v>
      </c>
      <c r="E23" s="6">
        <v>23592865</v>
      </c>
    </row>
    <row r="24" spans="3:6" x14ac:dyDescent="0.25">
      <c r="C24" s="5" t="s">
        <v>13</v>
      </c>
      <c r="D24" s="6">
        <v>14670500</v>
      </c>
      <c r="E24" s="6">
        <v>15199052</v>
      </c>
    </row>
    <row r="25" spans="3:6" x14ac:dyDescent="0.25">
      <c r="C25" s="5" t="s">
        <v>14</v>
      </c>
      <c r="D25" s="6">
        <v>2820000</v>
      </c>
      <c r="E25" s="6">
        <v>4636069.99</v>
      </c>
    </row>
    <row r="26" spans="3:6" x14ac:dyDescent="0.25">
      <c r="C26" s="5" t="s">
        <v>15</v>
      </c>
      <c r="D26" s="6">
        <v>1635000</v>
      </c>
      <c r="E26" s="6">
        <v>11157548.189999999</v>
      </c>
    </row>
    <row r="27" spans="3:6" x14ac:dyDescent="0.25">
      <c r="C27" s="5" t="s">
        <v>16</v>
      </c>
      <c r="D27" s="6">
        <v>3280000</v>
      </c>
      <c r="E27" s="6">
        <v>4804736.5199999996</v>
      </c>
    </row>
    <row r="28" spans="3:6" x14ac:dyDescent="0.25">
      <c r="C28" s="3" t="s">
        <v>17</v>
      </c>
      <c r="D28" s="4">
        <f>D29+D30+D31+D32+D33+D34+D35+D37</f>
        <v>14150689</v>
      </c>
      <c r="E28" s="4">
        <f>E29+E30+E31+E32+E33+E34+E35+E37</f>
        <v>15860046.32</v>
      </c>
    </row>
    <row r="29" spans="3:6" x14ac:dyDescent="0.25">
      <c r="C29" s="5" t="s">
        <v>18</v>
      </c>
      <c r="D29" s="6">
        <v>665000</v>
      </c>
      <c r="E29" s="6">
        <v>873259.39</v>
      </c>
    </row>
    <row r="30" spans="3:6" x14ac:dyDescent="0.25">
      <c r="C30" s="5" t="s">
        <v>19</v>
      </c>
      <c r="D30" s="6">
        <v>125000</v>
      </c>
      <c r="E30" s="6">
        <v>486200</v>
      </c>
    </row>
    <row r="31" spans="3:6" x14ac:dyDescent="0.25">
      <c r="C31" s="5" t="s">
        <v>20</v>
      </c>
      <c r="D31" s="6">
        <v>475000</v>
      </c>
      <c r="E31" s="6">
        <v>794816</v>
      </c>
    </row>
    <row r="32" spans="3:6" x14ac:dyDescent="0.25">
      <c r="C32" s="5" t="s">
        <v>21</v>
      </c>
      <c r="D32" s="6">
        <v>0</v>
      </c>
      <c r="E32" s="6">
        <v>0</v>
      </c>
    </row>
    <row r="33" spans="3:5" x14ac:dyDescent="0.25">
      <c r="C33" s="5" t="s">
        <v>22</v>
      </c>
      <c r="D33" s="6">
        <v>300000</v>
      </c>
      <c r="E33" s="6">
        <v>201699.86</v>
      </c>
    </row>
    <row r="34" spans="3:5" x14ac:dyDescent="0.25">
      <c r="C34" s="5" t="s">
        <v>23</v>
      </c>
      <c r="D34" s="6">
        <v>305002</v>
      </c>
      <c r="E34" s="6">
        <v>306167.65000000002</v>
      </c>
    </row>
    <row r="35" spans="3:5" x14ac:dyDescent="0.25">
      <c r="C35" s="5" t="s">
        <v>24</v>
      </c>
      <c r="D35" s="6">
        <v>11100000</v>
      </c>
      <c r="E35" s="6">
        <v>11328260.41</v>
      </c>
    </row>
    <row r="36" spans="3:5" x14ac:dyDescent="0.25">
      <c r="C36" s="5" t="s">
        <v>25</v>
      </c>
      <c r="D36" s="6"/>
      <c r="E36" s="6"/>
    </row>
    <row r="37" spans="3:5" x14ac:dyDescent="0.25">
      <c r="C37" s="5" t="s">
        <v>26</v>
      </c>
      <c r="D37" s="6">
        <v>1180687</v>
      </c>
      <c r="E37" s="6">
        <v>1869643.01</v>
      </c>
    </row>
    <row r="38" spans="3:5" x14ac:dyDescent="0.25">
      <c r="C38" s="3" t="s">
        <v>27</v>
      </c>
      <c r="D38" s="4">
        <f>D39</f>
        <v>50000</v>
      </c>
      <c r="E38" s="4">
        <f>E39</f>
        <v>50000</v>
      </c>
    </row>
    <row r="39" spans="3:5" x14ac:dyDescent="0.25">
      <c r="C39" s="5" t="s">
        <v>28</v>
      </c>
      <c r="D39" s="6">
        <v>50000</v>
      </c>
      <c r="E39" s="6">
        <v>50000</v>
      </c>
    </row>
    <row r="40" spans="3:5" x14ac:dyDescent="0.25">
      <c r="C40" s="5" t="s">
        <v>29</v>
      </c>
      <c r="D40" s="6"/>
    </row>
    <row r="41" spans="3:5" x14ac:dyDescent="0.25">
      <c r="C41" s="5" t="s">
        <v>30</v>
      </c>
      <c r="D41" s="6"/>
    </row>
    <row r="42" spans="3:5" x14ac:dyDescent="0.25">
      <c r="C42" s="5" t="s">
        <v>31</v>
      </c>
      <c r="D42" s="6"/>
    </row>
    <row r="43" spans="3:5" x14ac:dyDescent="0.25">
      <c r="C43" s="5" t="s">
        <v>32</v>
      </c>
      <c r="D43" s="6"/>
    </row>
    <row r="44" spans="3:5" x14ac:dyDescent="0.25">
      <c r="C44" s="5" t="s">
        <v>33</v>
      </c>
      <c r="D44" s="6"/>
    </row>
    <row r="45" spans="3:5" x14ac:dyDescent="0.25">
      <c r="C45" s="5" t="s">
        <v>34</v>
      </c>
      <c r="D45" s="6"/>
    </row>
    <row r="46" spans="3:5" x14ac:dyDescent="0.25">
      <c r="C46" s="5" t="s">
        <v>35</v>
      </c>
      <c r="D46" s="6"/>
    </row>
    <row r="47" spans="3:5" x14ac:dyDescent="0.25">
      <c r="C47" s="3" t="s">
        <v>36</v>
      </c>
      <c r="D47" s="4"/>
    </row>
    <row r="48" spans="3:5" x14ac:dyDescent="0.25">
      <c r="C48" s="5" t="s">
        <v>37</v>
      </c>
      <c r="D48" s="6"/>
    </row>
    <row r="49" spans="3:5" x14ac:dyDescent="0.25">
      <c r="C49" s="5" t="s">
        <v>38</v>
      </c>
      <c r="D49" s="6"/>
    </row>
    <row r="50" spans="3:5" x14ac:dyDescent="0.25">
      <c r="C50" s="5" t="s">
        <v>39</v>
      </c>
      <c r="D50" s="6"/>
    </row>
    <row r="51" spans="3:5" x14ac:dyDescent="0.25">
      <c r="C51" s="5" t="s">
        <v>40</v>
      </c>
      <c r="D51" s="6"/>
    </row>
    <row r="52" spans="3:5" x14ac:dyDescent="0.25">
      <c r="C52" s="5" t="s">
        <v>41</v>
      </c>
      <c r="D52" s="6"/>
    </row>
    <row r="53" spans="3:5" x14ac:dyDescent="0.25">
      <c r="C53" s="5" t="s">
        <v>42</v>
      </c>
      <c r="D53" s="6"/>
    </row>
    <row r="54" spans="3:5" x14ac:dyDescent="0.25">
      <c r="C54" s="3" t="s">
        <v>43</v>
      </c>
      <c r="D54" s="4">
        <f>D55+D58+D59</f>
        <v>1000000</v>
      </c>
      <c r="E54" s="4">
        <f>E55+E58+E59+E56+E62</f>
        <v>1516500</v>
      </c>
    </row>
    <row r="55" spans="3:5" x14ac:dyDescent="0.25">
      <c r="C55" s="5" t="s">
        <v>44</v>
      </c>
      <c r="D55" s="6">
        <v>650000</v>
      </c>
      <c r="E55" s="6">
        <v>1364000</v>
      </c>
    </row>
    <row r="56" spans="3:5" x14ac:dyDescent="0.25">
      <c r="C56" s="5" t="s">
        <v>45</v>
      </c>
      <c r="D56" s="6"/>
      <c r="E56" s="6"/>
    </row>
    <row r="57" spans="3:5" x14ac:dyDescent="0.25">
      <c r="C57" s="5" t="s">
        <v>46</v>
      </c>
      <c r="D57" s="6"/>
      <c r="E57" s="6"/>
    </row>
    <row r="58" spans="3:5" x14ac:dyDescent="0.25">
      <c r="C58" s="5" t="s">
        <v>47</v>
      </c>
      <c r="D58" s="6"/>
      <c r="E58" s="6"/>
    </row>
    <row r="59" spans="3:5" x14ac:dyDescent="0.25">
      <c r="C59" s="5" t="s">
        <v>48</v>
      </c>
      <c r="D59" s="6">
        <v>350000</v>
      </c>
      <c r="E59" s="6">
        <v>112500</v>
      </c>
    </row>
    <row r="60" spans="3:5" x14ac:dyDescent="0.25">
      <c r="C60" s="5" t="s">
        <v>49</v>
      </c>
      <c r="D60" s="6"/>
    </row>
    <row r="61" spans="3:5" x14ac:dyDescent="0.25">
      <c r="C61" s="5" t="s">
        <v>50</v>
      </c>
      <c r="D61" s="6"/>
    </row>
    <row r="62" spans="3:5" x14ac:dyDescent="0.25">
      <c r="C62" s="5" t="s">
        <v>51</v>
      </c>
      <c r="D62" s="6"/>
      <c r="E62" s="6">
        <v>40000</v>
      </c>
    </row>
    <row r="63" spans="3:5" x14ac:dyDescent="0.25">
      <c r="C63" s="5" t="s">
        <v>52</v>
      </c>
      <c r="D63" s="6"/>
    </row>
    <row r="64" spans="3:5" x14ac:dyDescent="0.25">
      <c r="C64" s="3" t="s">
        <v>53</v>
      </c>
      <c r="D64" s="4"/>
    </row>
    <row r="65" spans="3:5" x14ac:dyDescent="0.25">
      <c r="C65" s="5" t="s">
        <v>54</v>
      </c>
      <c r="D65" s="6"/>
    </row>
    <row r="66" spans="3:5" x14ac:dyDescent="0.25">
      <c r="C66" s="5" t="s">
        <v>55</v>
      </c>
      <c r="D66" s="6"/>
    </row>
    <row r="67" spans="3:5" x14ac:dyDescent="0.25">
      <c r="C67" s="5" t="s">
        <v>56</v>
      </c>
      <c r="D67" s="6"/>
    </row>
    <row r="68" spans="3:5" x14ac:dyDescent="0.25">
      <c r="C68" s="5" t="s">
        <v>57</v>
      </c>
      <c r="D68" s="6"/>
    </row>
    <row r="69" spans="3:5" x14ac:dyDescent="0.25">
      <c r="C69" s="3" t="s">
        <v>58</v>
      </c>
      <c r="D69" s="4"/>
    </row>
    <row r="70" spans="3:5" x14ac:dyDescent="0.25">
      <c r="C70" s="5" t="s">
        <v>59</v>
      </c>
      <c r="D70" s="6"/>
    </row>
    <row r="71" spans="3:5" x14ac:dyDescent="0.25">
      <c r="C71" s="5" t="s">
        <v>60</v>
      </c>
      <c r="D71" s="6"/>
    </row>
    <row r="72" spans="3:5" x14ac:dyDescent="0.25">
      <c r="C72" s="3" t="s">
        <v>61</v>
      </c>
      <c r="D72" s="4"/>
    </row>
    <row r="73" spans="3:5" x14ac:dyDescent="0.25">
      <c r="C73" s="5" t="s">
        <v>62</v>
      </c>
      <c r="D73" s="6"/>
    </row>
    <row r="74" spans="3:5" x14ac:dyDescent="0.25">
      <c r="C74" s="5" t="s">
        <v>63</v>
      </c>
      <c r="D74" s="6"/>
    </row>
    <row r="75" spans="3:5" x14ac:dyDescent="0.25">
      <c r="C75" s="5" t="s">
        <v>64</v>
      </c>
      <c r="D75" s="6"/>
    </row>
    <row r="76" spans="3:5" x14ac:dyDescent="0.25">
      <c r="C76" s="1" t="s">
        <v>67</v>
      </c>
      <c r="D76" s="2"/>
      <c r="E76" s="2"/>
    </row>
    <row r="77" spans="3:5" x14ac:dyDescent="0.25">
      <c r="C77" s="3" t="s">
        <v>68</v>
      </c>
      <c r="D77" s="4"/>
    </row>
    <row r="78" spans="3:5" x14ac:dyDescent="0.25">
      <c r="C78" s="5" t="s">
        <v>69</v>
      </c>
      <c r="D78" s="6"/>
    </row>
    <row r="79" spans="3:5" x14ac:dyDescent="0.25">
      <c r="C79" s="5" t="s">
        <v>70</v>
      </c>
      <c r="D79" s="6"/>
    </row>
    <row r="80" spans="3:5" x14ac:dyDescent="0.25">
      <c r="C80" s="3" t="s">
        <v>71</v>
      </c>
      <c r="D80" s="4"/>
    </row>
    <row r="81" spans="3:5" x14ac:dyDescent="0.25">
      <c r="C81" s="5" t="s">
        <v>72</v>
      </c>
      <c r="D81" s="6"/>
    </row>
    <row r="82" spans="3:5" x14ac:dyDescent="0.25">
      <c r="C82" s="5" t="s">
        <v>73</v>
      </c>
      <c r="D82" s="6"/>
    </row>
    <row r="83" spans="3:5" x14ac:dyDescent="0.25">
      <c r="C83" s="3" t="s">
        <v>74</v>
      </c>
      <c r="D83" s="4"/>
    </row>
    <row r="84" spans="3:5" x14ac:dyDescent="0.25">
      <c r="C84" s="5" t="s">
        <v>75</v>
      </c>
      <c r="D84" s="6"/>
    </row>
    <row r="85" spans="3:5" x14ac:dyDescent="0.25">
      <c r="C85" s="9" t="s">
        <v>65</v>
      </c>
      <c r="D85" s="23">
        <f>D54+D38+D28+D18+D12</f>
        <v>311699277</v>
      </c>
      <c r="E85" s="23">
        <f>E54+E38+E28+E18+E12</f>
        <v>341844294.10000002</v>
      </c>
    </row>
    <row r="87" spans="3:5" hidden="1" x14ac:dyDescent="0.25"/>
    <row r="88" spans="3:5" hidden="1" x14ac:dyDescent="0.25"/>
    <row r="89" spans="3:5" hidden="1" x14ac:dyDescent="0.25"/>
    <row r="90" spans="3:5" ht="15.75" thickBot="1" x14ac:dyDescent="0.3"/>
    <row r="91" spans="3:5" ht="26.25" customHeight="1" thickBot="1" x14ac:dyDescent="0.3">
      <c r="C91" s="22" t="s">
        <v>95</v>
      </c>
    </row>
    <row r="92" spans="3:5" ht="33.75" customHeight="1" thickBot="1" x14ac:dyDescent="0.3">
      <c r="C92" s="20" t="s">
        <v>96</v>
      </c>
    </row>
    <row r="93" spans="3:5" ht="60.75" thickBot="1" x14ac:dyDescent="0.3">
      <c r="C93" s="21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31496062992125984" right="0.31496062992125984" top="0.74803149606299213" bottom="0.74803149606299213" header="0.31496062992125984" footer="0.31496062992125984"/>
  <pageSetup scale="4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89"/>
  <sheetViews>
    <sheetView showGridLines="0" tabSelected="1" topLeftCell="A69" workbookViewId="0">
      <selection activeCell="B86" sqref="B86"/>
    </sheetView>
  </sheetViews>
  <sheetFormatPr defaultColWidth="11.42578125" defaultRowHeight="15" x14ac:dyDescent="0.25"/>
  <cols>
    <col min="1" max="1" width="45.7109375" customWidth="1"/>
    <col min="2" max="2" width="16.140625" customWidth="1"/>
    <col min="3" max="3" width="14.42578125" customWidth="1"/>
    <col min="4" max="5" width="13.140625" customWidth="1"/>
    <col min="6" max="7" width="13.28515625" customWidth="1"/>
    <col min="8" max="8" width="13.7109375" customWidth="1"/>
    <col min="9" max="9" width="13" customWidth="1"/>
    <col min="10" max="10" width="12.85546875" customWidth="1"/>
    <col min="11" max="11" width="13.140625" customWidth="1"/>
    <col min="12" max="12" width="12.85546875" customWidth="1"/>
    <col min="13" max="13" width="14" customWidth="1"/>
    <col min="14" max="14" width="12.7109375" customWidth="1"/>
    <col min="15" max="15" width="13" customWidth="1"/>
    <col min="16" max="16" width="13.42578125" customWidth="1"/>
  </cols>
  <sheetData>
    <row r="1" spans="1:17" s="54" customFormat="1" ht="21" customHeight="1" x14ac:dyDescent="0.35">
      <c r="A1" s="72" t="s">
        <v>110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17" s="29" customFormat="1" ht="18" customHeight="1" x14ac:dyDescent="0.3">
      <c r="A2" s="70" t="s">
        <v>99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spans="1:17" ht="11.25" customHeight="1" x14ac:dyDescent="0.25">
      <c r="A3" s="45">
        <v>2025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7" ht="14.25" customHeight="1" x14ac:dyDescent="0.25">
      <c r="A4" s="40" t="s">
        <v>92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17" ht="12" customHeight="1" x14ac:dyDescent="0.25">
      <c r="A5" s="41" t="s">
        <v>77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17" ht="25.5" customHeight="1" x14ac:dyDescent="0.25">
      <c r="A6" s="42" t="s">
        <v>66</v>
      </c>
      <c r="B6" s="43" t="s">
        <v>94</v>
      </c>
      <c r="C6" s="43" t="s">
        <v>93</v>
      </c>
      <c r="D6" s="47" t="s">
        <v>91</v>
      </c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9"/>
    </row>
    <row r="7" spans="1:17" x14ac:dyDescent="0.25">
      <c r="A7" s="42"/>
      <c r="B7" s="44"/>
      <c r="C7" s="44"/>
      <c r="D7" s="15" t="s">
        <v>79</v>
      </c>
      <c r="E7" s="15" t="s">
        <v>80</v>
      </c>
      <c r="F7" s="15" t="s">
        <v>81</v>
      </c>
      <c r="G7" s="15" t="s">
        <v>82</v>
      </c>
      <c r="H7" s="16" t="s">
        <v>83</v>
      </c>
      <c r="I7" s="15" t="s">
        <v>84</v>
      </c>
      <c r="J7" s="16" t="s">
        <v>85</v>
      </c>
      <c r="K7" s="15" t="s">
        <v>86</v>
      </c>
      <c r="L7" s="15" t="s">
        <v>87</v>
      </c>
      <c r="M7" s="15" t="s">
        <v>88</v>
      </c>
      <c r="N7" s="15" t="s">
        <v>89</v>
      </c>
      <c r="O7" s="16" t="s">
        <v>90</v>
      </c>
      <c r="P7" s="15" t="s">
        <v>78</v>
      </c>
    </row>
    <row r="8" spans="1:17" x14ac:dyDescent="0.25">
      <c r="A8" s="1" t="s">
        <v>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7" s="63" customFormat="1" ht="12.75" x14ac:dyDescent="0.2">
      <c r="A9" s="61" t="s">
        <v>1</v>
      </c>
      <c r="B9" s="62">
        <f>B10+B11+B14</f>
        <v>217601998</v>
      </c>
      <c r="C9" s="62">
        <f>C10+C11+C14</f>
        <v>223601998</v>
      </c>
      <c r="D9" s="62">
        <f t="shared" ref="D9:O9" si="0">D10+D11+D14</f>
        <v>14442586.75</v>
      </c>
      <c r="E9" s="62">
        <f t="shared" si="0"/>
        <v>14350642.969999999</v>
      </c>
      <c r="F9" s="62">
        <f t="shared" si="0"/>
        <v>16190801.01</v>
      </c>
      <c r="G9" s="62">
        <f t="shared" si="0"/>
        <v>27027152.419999998</v>
      </c>
      <c r="H9" s="62">
        <f t="shared" si="0"/>
        <v>14161002.27</v>
      </c>
      <c r="I9" s="62">
        <f t="shared" si="0"/>
        <v>14633628.659999998</v>
      </c>
      <c r="J9" s="62">
        <f t="shared" si="0"/>
        <v>14487741.35</v>
      </c>
      <c r="K9" s="62">
        <f t="shared" si="0"/>
        <v>14606610.34</v>
      </c>
      <c r="L9" s="62">
        <f t="shared" si="0"/>
        <v>14413861.949999999</v>
      </c>
      <c r="M9" s="62">
        <f t="shared" si="0"/>
        <v>26646651.669999998</v>
      </c>
      <c r="N9" s="62">
        <f t="shared" si="0"/>
        <v>26615943.260000002</v>
      </c>
      <c r="O9" s="62">
        <f t="shared" si="0"/>
        <v>26135596.670000002</v>
      </c>
      <c r="P9" s="62">
        <f>SUM(D9:O9)</f>
        <v>223712219.31999993</v>
      </c>
    </row>
    <row r="10" spans="1:17" s="63" customFormat="1" ht="15.75" customHeight="1" x14ac:dyDescent="0.2">
      <c r="A10" s="64" t="s">
        <v>2</v>
      </c>
      <c r="B10" s="65">
        <v>166834000</v>
      </c>
      <c r="C10" s="65">
        <v>161938725.66999999</v>
      </c>
      <c r="D10" s="65">
        <f>12263814.61+22000</f>
        <v>12285814.609999999</v>
      </c>
      <c r="E10" s="65">
        <f>12196731.28+9333.33</f>
        <v>12206064.609999999</v>
      </c>
      <c r="F10" s="65">
        <v>14036483.119999999</v>
      </c>
      <c r="G10" s="65">
        <v>24873991.829999998</v>
      </c>
      <c r="H10" s="65">
        <f>11968631.28+20000+29072.45</f>
        <v>12017703.729999999</v>
      </c>
      <c r="I10" s="65">
        <f>12006464.61+20000+18515+439840.79</f>
        <v>12484820.399999999</v>
      </c>
      <c r="J10" s="65">
        <v>12323850.119999999</v>
      </c>
      <c r="K10" s="65">
        <f>12234664.61+192000</f>
        <v>12426664.609999999</v>
      </c>
      <c r="L10" s="65">
        <f>11789664.61+510844.49</f>
        <v>12300509.1</v>
      </c>
      <c r="M10" s="65">
        <f>11886664.61+84000+406091.38+12142572.84</f>
        <v>24519328.829999998</v>
      </c>
      <c r="N10" s="65">
        <v>24565564.300000001</v>
      </c>
      <c r="O10" s="65">
        <v>24024937.16</v>
      </c>
      <c r="P10" s="65">
        <f>SUM(D10:O10)</f>
        <v>198065732.41999999</v>
      </c>
    </row>
    <row r="11" spans="1:17" s="63" customFormat="1" ht="15.75" customHeight="1" x14ac:dyDescent="0.2">
      <c r="A11" s="64" t="s">
        <v>3</v>
      </c>
      <c r="B11" s="65">
        <v>28302000</v>
      </c>
      <c r="C11" s="65">
        <v>39931733.909999996</v>
      </c>
      <c r="D11" s="65">
        <v>309500</v>
      </c>
      <c r="E11" s="65">
        <v>309500</v>
      </c>
      <c r="F11" s="65">
        <v>333500</v>
      </c>
      <c r="G11" s="65">
        <v>333500</v>
      </c>
      <c r="H11" s="65">
        <v>333500</v>
      </c>
      <c r="I11" s="65">
        <v>333500</v>
      </c>
      <c r="J11" s="65">
        <v>333500</v>
      </c>
      <c r="K11" s="65">
        <v>333500</v>
      </c>
      <c r="L11" s="65">
        <v>333500</v>
      </c>
      <c r="M11" s="65">
        <v>333500</v>
      </c>
      <c r="N11" s="65">
        <v>317143</v>
      </c>
      <c r="O11" s="65">
        <v>317143</v>
      </c>
      <c r="P11" s="65">
        <f>SUM(D11:O11)</f>
        <v>3921286</v>
      </c>
    </row>
    <row r="12" spans="1:17" s="63" customFormat="1" ht="15.75" customHeight="1" x14ac:dyDescent="0.2">
      <c r="A12" s="64" t="s">
        <v>4</v>
      </c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6"/>
    </row>
    <row r="13" spans="1:17" s="63" customFormat="1" ht="15.75" customHeight="1" x14ac:dyDescent="0.2">
      <c r="A13" s="64" t="s">
        <v>5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</row>
    <row r="14" spans="1:17" s="63" customFormat="1" ht="15.75" customHeight="1" x14ac:dyDescent="0.2">
      <c r="A14" s="64" t="s">
        <v>6</v>
      </c>
      <c r="B14" s="65">
        <v>22465998</v>
      </c>
      <c r="C14" s="65">
        <v>21731538.420000002</v>
      </c>
      <c r="D14" s="65">
        <f>864160.42+872292.83+110818.89</f>
        <v>1847272.14</v>
      </c>
      <c r="E14" s="65">
        <f>858506.14+866630.58+109941.64</f>
        <v>1835078.3599999999</v>
      </c>
      <c r="F14" s="65">
        <v>1820817.89</v>
      </c>
      <c r="G14" s="65">
        <f>851146+855772.31+112742.28</f>
        <v>1819660.59</v>
      </c>
      <c r="H14" s="65">
        <f>846572.95+851192.81+112032.78</f>
        <v>1809798.54</v>
      </c>
      <c r="I14" s="65">
        <f>849255.33+853878.98+112173.95</f>
        <v>1815308.26</v>
      </c>
      <c r="J14" s="65">
        <f>856572.21+861206.18+112612.84</f>
        <v>1830391.2300000002</v>
      </c>
      <c r="K14" s="65">
        <f>864016.71+868661.18+113767.84</f>
        <v>1846445.7300000002</v>
      </c>
      <c r="L14" s="65">
        <f>832466.21+837066.18+110320.46</f>
        <v>1779852.85</v>
      </c>
      <c r="M14" s="65">
        <f>839343.51+843953.18+110526.15</f>
        <v>1793822.8399999999</v>
      </c>
      <c r="N14" s="65">
        <f>810629.01+815198.18+107408.77</f>
        <v>1733235.96</v>
      </c>
      <c r="O14" s="65">
        <f>839771.2+844381.49+109363.82</f>
        <v>1793516.51</v>
      </c>
      <c r="P14" s="65">
        <f t="shared" ref="P14:P24" si="1">SUM(D14:O14)</f>
        <v>21725200.900000002</v>
      </c>
    </row>
    <row r="15" spans="1:17" s="63" customFormat="1" ht="15.75" customHeight="1" x14ac:dyDescent="0.2">
      <c r="A15" s="61" t="s">
        <v>7</v>
      </c>
      <c r="B15" s="62">
        <f t="shared" ref="B15:G15" si="2">B16+B17+B18+B19+B20+B21+B22+B23+B24</f>
        <v>78896590</v>
      </c>
      <c r="C15" s="62">
        <f t="shared" si="2"/>
        <v>100815749.77999999</v>
      </c>
      <c r="D15" s="62">
        <f t="shared" si="2"/>
        <v>4013686.89</v>
      </c>
      <c r="E15" s="62">
        <f t="shared" si="2"/>
        <v>4564432.68</v>
      </c>
      <c r="F15" s="62">
        <f t="shared" si="2"/>
        <v>4875188.9699999988</v>
      </c>
      <c r="G15" s="62">
        <f t="shared" si="2"/>
        <v>4934694.6399999997</v>
      </c>
      <c r="H15" s="62">
        <f t="shared" ref="H15:O15" si="3">H16+H17+H18+H19+H20+H21+H22+H23+H24</f>
        <v>4598395.13</v>
      </c>
      <c r="I15" s="62">
        <f t="shared" si="3"/>
        <v>10958809.609999999</v>
      </c>
      <c r="J15" s="62">
        <f t="shared" si="3"/>
        <v>5899027.2999999989</v>
      </c>
      <c r="K15" s="62">
        <f t="shared" si="3"/>
        <v>7031406.9400000004</v>
      </c>
      <c r="L15" s="62">
        <f t="shared" si="3"/>
        <v>6198859.5</v>
      </c>
      <c r="M15" s="62">
        <f t="shared" si="3"/>
        <v>8978574.7100000009</v>
      </c>
      <c r="N15" s="62">
        <f t="shared" si="3"/>
        <v>14279814.480000002</v>
      </c>
      <c r="O15" s="62">
        <f t="shared" si="3"/>
        <v>14424407.59</v>
      </c>
      <c r="P15" s="62">
        <f t="shared" si="1"/>
        <v>90757298.439999998</v>
      </c>
    </row>
    <row r="16" spans="1:17" s="63" customFormat="1" ht="15.75" customHeight="1" x14ac:dyDescent="0.2">
      <c r="A16" s="67" t="s">
        <v>8</v>
      </c>
      <c r="B16" s="65">
        <v>27452090</v>
      </c>
      <c r="C16" s="65">
        <v>27833699.91</v>
      </c>
      <c r="D16" s="65">
        <f>815947.89+253249.86+1011994.48+617383.3</f>
        <v>2698575.5300000003</v>
      </c>
      <c r="E16" s="65">
        <f>447933.82+404945.9+1665584.79+571326.66+27615+12329</f>
        <v>3129735.17</v>
      </c>
      <c r="F16" s="65">
        <v>2282632.04</v>
      </c>
      <c r="G16" s="65">
        <f>464494.54+191075.86+914219.55+572706.61+7541+2177</f>
        <v>2152214.56</v>
      </c>
      <c r="H16" s="65">
        <f>453154.61+191322.35+919243.32+558269.96+10270+2780</f>
        <v>2135040.2399999998</v>
      </c>
      <c r="I16" s="65">
        <f>477888.97+197435.31+923194+576243.55+4183+1610</f>
        <v>2180554.83</v>
      </c>
      <c r="J16" s="65">
        <f>469944.2+176144.03+1034079.06+540107.86+10036+8540</f>
        <v>2238851.15</v>
      </c>
      <c r="K16" s="65">
        <f>637265.63+333034.91+829575.1+571173.58+5434+2499</f>
        <v>2378982.2200000002</v>
      </c>
      <c r="L16" s="65">
        <f>619252.96+202030.41+791380.19+592485.92+3874+2500</f>
        <v>2211523.48</v>
      </c>
      <c r="M16" s="65">
        <f>412829.41+214661.71+909362.67+578755.8+3874+300</f>
        <v>2119783.59</v>
      </c>
      <c r="N16" s="65">
        <f>411309.87+174982.9+959323.4+550209.66+3874+4770</f>
        <v>2104469.83</v>
      </c>
      <c r="O16" s="65">
        <v>1175375.42</v>
      </c>
      <c r="P16" s="65">
        <f t="shared" si="1"/>
        <v>26807738.060000002</v>
      </c>
    </row>
    <row r="17" spans="1:16" s="63" customFormat="1" ht="15.75" customHeight="1" x14ac:dyDescent="0.2">
      <c r="A17" s="67" t="s">
        <v>9</v>
      </c>
      <c r="B17" s="65">
        <v>215000</v>
      </c>
      <c r="C17" s="65">
        <v>206350</v>
      </c>
      <c r="D17" s="65">
        <v>0</v>
      </c>
      <c r="E17" s="65">
        <v>0</v>
      </c>
      <c r="F17" s="65">
        <v>0</v>
      </c>
      <c r="G17" s="65">
        <v>0</v>
      </c>
      <c r="H17" s="65">
        <v>0</v>
      </c>
      <c r="I17" s="65">
        <v>1500</v>
      </c>
      <c r="J17" s="65">
        <v>0</v>
      </c>
      <c r="K17" s="65">
        <v>16940</v>
      </c>
      <c r="L17" s="65">
        <v>14876.26</v>
      </c>
      <c r="M17" s="65">
        <v>0</v>
      </c>
      <c r="N17" s="65">
        <v>0</v>
      </c>
      <c r="O17" s="65">
        <v>1350</v>
      </c>
      <c r="P17" s="65">
        <f t="shared" si="1"/>
        <v>34666.26</v>
      </c>
    </row>
    <row r="18" spans="1:16" s="63" customFormat="1" ht="15.75" customHeight="1" x14ac:dyDescent="0.2">
      <c r="A18" s="67" t="s">
        <v>10</v>
      </c>
      <c r="B18" s="65">
        <v>3700000</v>
      </c>
      <c r="C18" s="65">
        <v>12244550</v>
      </c>
      <c r="D18" s="65">
        <v>0</v>
      </c>
      <c r="E18" s="65">
        <v>119000</v>
      </c>
      <c r="F18" s="65">
        <v>85400</v>
      </c>
      <c r="G18" s="65">
        <v>167517.5</v>
      </c>
      <c r="H18" s="65">
        <v>76450</v>
      </c>
      <c r="I18" s="65">
        <v>93880</v>
      </c>
      <c r="J18" s="65">
        <v>341767.5</v>
      </c>
      <c r="K18" s="65">
        <v>172490</v>
      </c>
      <c r="L18" s="65">
        <v>501507.5</v>
      </c>
      <c r="M18" s="65">
        <f>281705.51+2670530</f>
        <v>2952235.51</v>
      </c>
      <c r="N18" s="65">
        <v>5581660</v>
      </c>
      <c r="O18" s="65">
        <v>814636.72</v>
      </c>
      <c r="P18" s="65">
        <f t="shared" si="1"/>
        <v>10906544.73</v>
      </c>
    </row>
    <row r="19" spans="1:16" s="63" customFormat="1" ht="15.75" customHeight="1" x14ac:dyDescent="0.2">
      <c r="A19" s="67" t="s">
        <v>11</v>
      </c>
      <c r="B19" s="65">
        <v>1720000</v>
      </c>
      <c r="C19" s="65">
        <v>1140878.17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139000</v>
      </c>
      <c r="L19" s="65">
        <f>7641.56+64700+12668.68</f>
        <v>85010.239999999991</v>
      </c>
      <c r="M19" s="65">
        <v>0</v>
      </c>
      <c r="N19" s="65">
        <v>0</v>
      </c>
      <c r="O19" s="65">
        <v>224398.17</v>
      </c>
      <c r="P19" s="65">
        <f t="shared" si="1"/>
        <v>448408.41000000003</v>
      </c>
    </row>
    <row r="20" spans="1:16" s="63" customFormat="1" ht="15.75" customHeight="1" x14ac:dyDescent="0.2">
      <c r="A20" s="67" t="s">
        <v>12</v>
      </c>
      <c r="B20" s="65">
        <v>23404000</v>
      </c>
      <c r="C20" s="65">
        <v>23592865</v>
      </c>
      <c r="D20" s="65">
        <v>0</v>
      </c>
      <c r="E20" s="65">
        <v>84488</v>
      </c>
      <c r="F20" s="65">
        <v>355001.48</v>
      </c>
      <c r="G20" s="65">
        <v>147139.93</v>
      </c>
      <c r="H20" s="65">
        <f>81184+141787.8</f>
        <v>222971.8</v>
      </c>
      <c r="I20" s="65">
        <f>6849049.33+81184</f>
        <v>6930233.3300000001</v>
      </c>
      <c r="J20" s="65">
        <f>1462191.62+81184</f>
        <v>1543375.62</v>
      </c>
      <c r="K20" s="65">
        <f>2419302.18+81184+214435.65</f>
        <v>2714921.83</v>
      </c>
      <c r="L20" s="65">
        <f>1126786.06+127746.21</f>
        <v>1254532.27</v>
      </c>
      <c r="M20" s="65">
        <f>2020293.34+81184</f>
        <v>2101477.34</v>
      </c>
      <c r="N20" s="65">
        <f>1427775.06+104822.94+1367680</f>
        <v>2900278</v>
      </c>
      <c r="O20" s="65">
        <v>4589882.87</v>
      </c>
      <c r="P20" s="65">
        <f t="shared" si="1"/>
        <v>22844302.470000003</v>
      </c>
    </row>
    <row r="21" spans="1:16" s="63" customFormat="1" ht="15.75" customHeight="1" x14ac:dyDescent="0.2">
      <c r="A21" s="67" t="s">
        <v>13</v>
      </c>
      <c r="B21" s="65">
        <v>14670500</v>
      </c>
      <c r="C21" s="65">
        <v>15199052</v>
      </c>
      <c r="D21" s="65">
        <v>1194917.68</v>
      </c>
      <c r="E21" s="65">
        <v>880511.45</v>
      </c>
      <c r="F21" s="65">
        <v>1565479</v>
      </c>
      <c r="G21" s="65">
        <f>326888.77+1198709.99</f>
        <v>1525598.76</v>
      </c>
      <c r="H21" s="65">
        <f>293205.46+1363636.29</f>
        <v>1656841.75</v>
      </c>
      <c r="I21" s="65">
        <v>1464175.53</v>
      </c>
      <c r="J21" s="65">
        <v>850726.87</v>
      </c>
      <c r="K21" s="65">
        <v>1175041.5</v>
      </c>
      <c r="L21" s="65">
        <f>392531.66+838998.35</f>
        <v>1231530.01</v>
      </c>
      <c r="M21" s="65">
        <v>1398967.97</v>
      </c>
      <c r="N21" s="65">
        <v>1034078.8</v>
      </c>
      <c r="O21" s="65">
        <v>1217149.33</v>
      </c>
      <c r="P21" s="65">
        <f t="shared" si="1"/>
        <v>15195018.65</v>
      </c>
    </row>
    <row r="22" spans="1:16" s="63" customFormat="1" ht="15.75" customHeight="1" x14ac:dyDescent="0.2">
      <c r="A22" s="67" t="s">
        <v>14</v>
      </c>
      <c r="B22" s="65">
        <v>2820000</v>
      </c>
      <c r="C22" s="65">
        <v>4636069.99</v>
      </c>
      <c r="D22" s="65">
        <v>42244</v>
      </c>
      <c r="E22" s="65">
        <v>86199</v>
      </c>
      <c r="F22" s="65">
        <v>449532.8</v>
      </c>
      <c r="G22" s="65">
        <v>566400</v>
      </c>
      <c r="H22" s="65">
        <v>7620.8</v>
      </c>
      <c r="I22" s="65">
        <v>0</v>
      </c>
      <c r="J22" s="65">
        <v>149989.79999999999</v>
      </c>
      <c r="K22" s="65">
        <f>30000+96800</f>
        <v>126800</v>
      </c>
      <c r="L22" s="65">
        <f>1400+600164.3</f>
        <v>601564.30000000005</v>
      </c>
      <c r="M22" s="65">
        <f>20000+29264+112100</f>
        <v>161364</v>
      </c>
      <c r="N22" s="65">
        <f>16909.4+47200</f>
        <v>64109.4</v>
      </c>
      <c r="O22" s="65">
        <v>1768487.75</v>
      </c>
      <c r="P22" s="65">
        <f t="shared" si="1"/>
        <v>4024311.85</v>
      </c>
    </row>
    <row r="23" spans="1:16" s="63" customFormat="1" ht="15.75" customHeight="1" x14ac:dyDescent="0.2">
      <c r="A23" s="67" t="s">
        <v>15</v>
      </c>
      <c r="B23" s="65">
        <v>1635000</v>
      </c>
      <c r="C23" s="65">
        <v>11157548.189999999</v>
      </c>
      <c r="D23" s="65">
        <v>0</v>
      </c>
      <c r="E23" s="65">
        <f>5100.05+33000+19116</f>
        <v>57216.05</v>
      </c>
      <c r="F23" s="65">
        <v>17700.009999999998</v>
      </c>
      <c r="G23" s="65">
        <f>525+9300.09+16500+23895+4599.42</f>
        <v>54819.509999999995</v>
      </c>
      <c r="H23" s="65">
        <f>160000+19116</f>
        <v>179116</v>
      </c>
      <c r="I23" s="65">
        <v>73000</v>
      </c>
      <c r="J23" s="65">
        <f>7425+165200+262699.14+19116</f>
        <v>454440.14</v>
      </c>
      <c r="K23" s="65">
        <f>50464+9558</f>
        <v>60022</v>
      </c>
      <c r="L23" s="65">
        <f>1485.33+39999.99+17700+16500+11151</f>
        <v>86836.32</v>
      </c>
      <c r="M23" s="65">
        <f>20000+6249.99</f>
        <v>26249.989999999998</v>
      </c>
      <c r="N23" s="65">
        <v>2312803.98</v>
      </c>
      <c r="O23" s="65">
        <v>2830394.28</v>
      </c>
      <c r="P23" s="65">
        <f t="shared" si="1"/>
        <v>6152598.2799999993</v>
      </c>
    </row>
    <row r="24" spans="1:16" s="63" customFormat="1" ht="15.75" customHeight="1" x14ac:dyDescent="0.2">
      <c r="A24" s="64" t="s">
        <v>16</v>
      </c>
      <c r="B24" s="65">
        <v>3280000</v>
      </c>
      <c r="C24" s="65">
        <v>4804736.5199999996</v>
      </c>
      <c r="D24" s="65">
        <v>77949.679999999993</v>
      </c>
      <c r="E24" s="65">
        <v>207283.01</v>
      </c>
      <c r="F24" s="65">
        <v>119443.64</v>
      </c>
      <c r="G24" s="65">
        <v>321004.38</v>
      </c>
      <c r="H24" s="65">
        <v>320354.53999999998</v>
      </c>
      <c r="I24" s="65">
        <f>93102+122363.92</f>
        <v>215465.91999999998</v>
      </c>
      <c r="J24" s="65">
        <v>319876.21999999997</v>
      </c>
      <c r="K24" s="65">
        <v>247209.39</v>
      </c>
      <c r="L24" s="65">
        <v>211479.12</v>
      </c>
      <c r="M24" s="65">
        <f>92244.9+126251.41</f>
        <v>218496.31</v>
      </c>
      <c r="N24" s="65">
        <v>282414.46999999997</v>
      </c>
      <c r="O24" s="65">
        <v>1802733.05</v>
      </c>
      <c r="P24" s="65">
        <f t="shared" si="1"/>
        <v>4343709.7299999995</v>
      </c>
    </row>
    <row r="25" spans="1:16" s="63" customFormat="1" ht="15.75" customHeight="1" x14ac:dyDescent="0.2">
      <c r="A25" s="61" t="s">
        <v>17</v>
      </c>
      <c r="B25" s="62">
        <f>B26+B27+B28+B29+B30+B31+B32+B34</f>
        <v>14150689</v>
      </c>
      <c r="C25" s="62">
        <f>C26+C27+C28+C29+C30+C31+C32+C34</f>
        <v>15860046.32</v>
      </c>
      <c r="D25" s="62">
        <f t="shared" ref="D25:P25" si="4">D26+D27+D28+D29+D30+D31+D32+D34</f>
        <v>725140</v>
      </c>
      <c r="E25" s="62">
        <f t="shared" si="4"/>
        <v>735220</v>
      </c>
      <c r="F25" s="62">
        <f t="shared" si="4"/>
        <v>1203322.1499999999</v>
      </c>
      <c r="G25" s="62">
        <f t="shared" si="4"/>
        <v>559729.84000000008</v>
      </c>
      <c r="H25" s="62">
        <f t="shared" si="4"/>
        <v>959125.32999999984</v>
      </c>
      <c r="I25" s="62">
        <f t="shared" si="4"/>
        <v>1660734.6199999999</v>
      </c>
      <c r="J25" s="62">
        <f t="shared" si="4"/>
        <v>820380.08000000007</v>
      </c>
      <c r="K25" s="62">
        <f t="shared" si="4"/>
        <v>1108833.02</v>
      </c>
      <c r="L25" s="62">
        <f t="shared" si="4"/>
        <v>1226801.2999999998</v>
      </c>
      <c r="M25" s="62">
        <f t="shared" si="4"/>
        <v>625733.68999999994</v>
      </c>
      <c r="N25" s="62">
        <f t="shared" si="4"/>
        <v>738409</v>
      </c>
      <c r="O25" s="62">
        <f t="shared" si="4"/>
        <v>2657870.91</v>
      </c>
      <c r="P25" s="62">
        <f t="shared" si="4"/>
        <v>13021299.940000001</v>
      </c>
    </row>
    <row r="26" spans="1:16" s="63" customFormat="1" ht="15.75" customHeight="1" x14ac:dyDescent="0.2">
      <c r="A26" s="67" t="s">
        <v>18</v>
      </c>
      <c r="B26" s="65">
        <v>665000</v>
      </c>
      <c r="C26" s="65">
        <v>873259.39</v>
      </c>
      <c r="D26" s="65">
        <v>2640</v>
      </c>
      <c r="E26" s="65">
        <v>12720</v>
      </c>
      <c r="F26" s="65">
        <v>31770.05</v>
      </c>
      <c r="G26" s="65">
        <v>20384.5</v>
      </c>
      <c r="H26" s="65">
        <v>18369.990000000002</v>
      </c>
      <c r="I26" s="65">
        <v>193898.2</v>
      </c>
      <c r="J26" s="65">
        <v>4740</v>
      </c>
      <c r="K26" s="65">
        <v>28880</v>
      </c>
      <c r="L26" s="65">
        <v>191111.62</v>
      </c>
      <c r="M26" s="65">
        <v>9840</v>
      </c>
      <c r="N26" s="65">
        <v>9780</v>
      </c>
      <c r="O26" s="65">
        <v>217877.21</v>
      </c>
      <c r="P26" s="65">
        <f t="shared" ref="P26:P33" si="5">SUM(D26:O26)</f>
        <v>742011.57</v>
      </c>
    </row>
    <row r="27" spans="1:16" s="63" customFormat="1" ht="15.75" customHeight="1" x14ac:dyDescent="0.2">
      <c r="A27" s="67" t="s">
        <v>19</v>
      </c>
      <c r="B27" s="65">
        <v>125000</v>
      </c>
      <c r="C27" s="65">
        <v>486200</v>
      </c>
      <c r="D27" s="65">
        <v>0</v>
      </c>
      <c r="E27" s="65">
        <v>0</v>
      </c>
      <c r="F27" s="65">
        <v>0</v>
      </c>
      <c r="G27" s="65">
        <v>0</v>
      </c>
      <c r="H27" s="65">
        <v>0</v>
      </c>
      <c r="I27" s="65">
        <v>0</v>
      </c>
      <c r="J27" s="65">
        <v>112930.58</v>
      </c>
      <c r="K27" s="65">
        <v>0</v>
      </c>
      <c r="L27" s="65">
        <v>777.9</v>
      </c>
      <c r="M27" s="65">
        <v>0</v>
      </c>
      <c r="N27" s="65">
        <f>17051+156350</f>
        <v>173401</v>
      </c>
      <c r="O27" s="65">
        <v>0</v>
      </c>
      <c r="P27" s="65">
        <f t="shared" si="5"/>
        <v>287109.48</v>
      </c>
    </row>
    <row r="28" spans="1:16" s="63" customFormat="1" ht="15.75" customHeight="1" x14ac:dyDescent="0.2">
      <c r="A28" s="67" t="s">
        <v>20</v>
      </c>
      <c r="B28" s="65">
        <v>475000</v>
      </c>
      <c r="C28" s="65">
        <v>794816</v>
      </c>
      <c r="D28" s="65">
        <v>0</v>
      </c>
      <c r="E28" s="65">
        <v>0</v>
      </c>
      <c r="F28" s="65">
        <v>31246.400000000001</v>
      </c>
      <c r="G28" s="65">
        <v>0</v>
      </c>
      <c r="H28" s="65">
        <v>19352</v>
      </c>
      <c r="I28" s="65">
        <v>52038</v>
      </c>
      <c r="J28" s="65">
        <v>11475</v>
      </c>
      <c r="K28" s="65">
        <v>3100</v>
      </c>
      <c r="L28" s="65">
        <v>252157.83</v>
      </c>
      <c r="M28" s="65">
        <v>19617.5</v>
      </c>
      <c r="N28" s="65">
        <v>29500</v>
      </c>
      <c r="O28" s="65">
        <v>118225.84</v>
      </c>
      <c r="P28" s="65">
        <f t="shared" si="5"/>
        <v>536712.56999999995</v>
      </c>
    </row>
    <row r="29" spans="1:16" s="63" customFormat="1" ht="15.75" customHeight="1" x14ac:dyDescent="0.2">
      <c r="A29" s="67" t="s">
        <v>21</v>
      </c>
      <c r="B29" s="65">
        <v>0</v>
      </c>
      <c r="C29" s="65">
        <v>0</v>
      </c>
      <c r="D29" s="65">
        <v>0</v>
      </c>
      <c r="E29" s="65">
        <v>0</v>
      </c>
      <c r="F29" s="65">
        <v>0</v>
      </c>
      <c r="G29" s="65">
        <v>0</v>
      </c>
      <c r="H29" s="65">
        <v>0</v>
      </c>
      <c r="I29" s="65">
        <v>0</v>
      </c>
      <c r="J29" s="65">
        <v>0</v>
      </c>
      <c r="K29" s="65">
        <v>0</v>
      </c>
      <c r="L29" s="65">
        <v>0</v>
      </c>
      <c r="M29" s="65">
        <v>0</v>
      </c>
      <c r="N29" s="65">
        <v>0</v>
      </c>
      <c r="O29" s="65">
        <v>0</v>
      </c>
      <c r="P29" s="65">
        <f t="shared" si="5"/>
        <v>0</v>
      </c>
    </row>
    <row r="30" spans="1:16" s="63" customFormat="1" ht="15.75" customHeight="1" x14ac:dyDescent="0.2">
      <c r="A30" s="67" t="s">
        <v>22</v>
      </c>
      <c r="B30" s="65">
        <v>300000</v>
      </c>
      <c r="C30" s="65">
        <v>201699.86</v>
      </c>
      <c r="D30" s="65">
        <v>0</v>
      </c>
      <c r="E30" s="65">
        <v>0</v>
      </c>
      <c r="F30" s="65">
        <v>0</v>
      </c>
      <c r="G30" s="65">
        <v>0</v>
      </c>
      <c r="H30" s="65">
        <v>7168.5</v>
      </c>
      <c r="I30" s="65">
        <v>140618.23999999999</v>
      </c>
      <c r="J30" s="65">
        <v>0</v>
      </c>
      <c r="K30" s="65">
        <v>0</v>
      </c>
      <c r="L30" s="65">
        <f>1450+13300.72</f>
        <v>14750.72</v>
      </c>
      <c r="M30" s="65">
        <v>0</v>
      </c>
      <c r="N30" s="65">
        <v>0</v>
      </c>
      <c r="O30" s="65">
        <v>6830.39</v>
      </c>
      <c r="P30" s="65">
        <f t="shared" si="5"/>
        <v>169367.85</v>
      </c>
    </row>
    <row r="31" spans="1:16" s="63" customFormat="1" ht="15.75" customHeight="1" x14ac:dyDescent="0.2">
      <c r="A31" s="67" t="s">
        <v>23</v>
      </c>
      <c r="B31" s="65">
        <v>305002</v>
      </c>
      <c r="C31" s="65">
        <v>306167.65000000002</v>
      </c>
      <c r="D31" s="65">
        <v>0</v>
      </c>
      <c r="E31" s="65">
        <v>0</v>
      </c>
      <c r="F31" s="65">
        <v>3223.43</v>
      </c>
      <c r="G31" s="65">
        <v>324.97000000000003</v>
      </c>
      <c r="H31" s="65">
        <f>1761.47+2643.82</f>
        <v>4405.29</v>
      </c>
      <c r="I31" s="65">
        <f>2884.75+6200.05+217.5+2000.95</f>
        <v>11303.25</v>
      </c>
      <c r="J31" s="65">
        <v>111650</v>
      </c>
      <c r="K31" s="65">
        <f>672.6+1919.86+1444.32</f>
        <v>4036.7799999999997</v>
      </c>
      <c r="L31" s="65">
        <f>6073.67+995+23650.59</f>
        <v>30719.260000000002</v>
      </c>
      <c r="M31" s="65">
        <v>1534</v>
      </c>
      <c r="N31" s="65">
        <v>0</v>
      </c>
      <c r="O31" s="65">
        <v>11295.45</v>
      </c>
      <c r="P31" s="65">
        <f t="shared" si="5"/>
        <v>178492.43000000002</v>
      </c>
    </row>
    <row r="32" spans="1:16" s="63" customFormat="1" ht="15.75" customHeight="1" x14ac:dyDescent="0.2">
      <c r="A32" s="67" t="s">
        <v>24</v>
      </c>
      <c r="B32" s="65">
        <v>11100000</v>
      </c>
      <c r="C32" s="65">
        <v>11328260.41</v>
      </c>
      <c r="D32" s="65">
        <v>722500</v>
      </c>
      <c r="E32" s="65">
        <v>722500</v>
      </c>
      <c r="F32" s="65">
        <v>1015500</v>
      </c>
      <c r="G32" s="65">
        <v>516862.32</v>
      </c>
      <c r="H32" s="65">
        <f>505000+50548.6+115907.57+2468.44</f>
        <v>673924.60999999987</v>
      </c>
      <c r="I32" s="65">
        <f>789500+99999.22+10431.2+99550.11+16494.71</f>
        <v>1015975.2399999999</v>
      </c>
      <c r="J32" s="65">
        <v>512000</v>
      </c>
      <c r="K32" s="65">
        <f>900000+6773.2+6742.52</f>
        <v>913515.72</v>
      </c>
      <c r="L32" s="65">
        <f>474000+315+300+2463.74+3033.61+6063.18</f>
        <v>486175.52999999997</v>
      </c>
      <c r="M32" s="65">
        <v>484500</v>
      </c>
      <c r="N32" s="65">
        <v>479000</v>
      </c>
      <c r="O32" s="65">
        <v>2000241.73</v>
      </c>
      <c r="P32" s="65">
        <f t="shared" si="5"/>
        <v>9542695.1500000004</v>
      </c>
    </row>
    <row r="33" spans="1:16" s="63" customFormat="1" ht="15.75" customHeight="1" x14ac:dyDescent="0.2">
      <c r="A33" s="67" t="s">
        <v>25</v>
      </c>
      <c r="B33" s="65">
        <v>0</v>
      </c>
      <c r="C33" s="65">
        <v>0</v>
      </c>
      <c r="D33" s="65">
        <v>0</v>
      </c>
      <c r="E33" s="65">
        <v>0</v>
      </c>
      <c r="F33" s="65">
        <v>0</v>
      </c>
      <c r="G33" s="65">
        <v>0</v>
      </c>
      <c r="H33" s="65">
        <v>0</v>
      </c>
      <c r="I33" s="65">
        <v>0</v>
      </c>
      <c r="J33" s="65">
        <v>0</v>
      </c>
      <c r="K33" s="65">
        <v>0</v>
      </c>
      <c r="L33" s="65">
        <v>0</v>
      </c>
      <c r="M33" s="65">
        <v>0</v>
      </c>
      <c r="N33" s="65">
        <v>0</v>
      </c>
      <c r="O33" s="65">
        <v>0</v>
      </c>
      <c r="P33" s="65">
        <f t="shared" si="5"/>
        <v>0</v>
      </c>
    </row>
    <row r="34" spans="1:16" s="63" customFormat="1" ht="15.75" customHeight="1" x14ac:dyDescent="0.2">
      <c r="A34" s="67" t="s">
        <v>26</v>
      </c>
      <c r="B34" s="65">
        <v>1180687</v>
      </c>
      <c r="C34" s="65">
        <v>1869643.01</v>
      </c>
      <c r="D34" s="65">
        <v>0</v>
      </c>
      <c r="E34" s="65">
        <v>0</v>
      </c>
      <c r="F34" s="65">
        <v>121582.27</v>
      </c>
      <c r="G34" s="65">
        <f>11876.94+6062.46+4218.65</f>
        <v>22158.050000000003</v>
      </c>
      <c r="H34" s="65">
        <f>47039.23+90737.28+26000.24+58481.84+12398.5+1247.85</f>
        <v>235904.94</v>
      </c>
      <c r="I34" s="65">
        <f>45492.66+2891.61+74365.37+30343.62+16150.06+1400.9+76257.47</f>
        <v>246901.69</v>
      </c>
      <c r="J34" s="65">
        <f>58498.5+9086</f>
        <v>67584.5</v>
      </c>
      <c r="K34" s="65">
        <f>30472.91+32621.03+34696.72+60833.58+676.28</f>
        <v>159300.51999999999</v>
      </c>
      <c r="L34" s="65">
        <f>102156.91+1905.7+640+5629.99+20801.03+3000.01+53532+708+62734.8</f>
        <v>251108.44</v>
      </c>
      <c r="M34" s="65">
        <f>80160+21461.93+5710.38+2909.88</f>
        <v>110242.19</v>
      </c>
      <c r="N34" s="65">
        <v>46728</v>
      </c>
      <c r="O34" s="65">
        <v>303400.28999999998</v>
      </c>
      <c r="P34" s="65">
        <f>SUM(D34:O34)</f>
        <v>1564910.89</v>
      </c>
    </row>
    <row r="35" spans="1:16" s="63" customFormat="1" ht="15.75" customHeight="1" x14ac:dyDescent="0.2">
      <c r="A35" s="61" t="s">
        <v>27</v>
      </c>
      <c r="B35" s="62">
        <f>B36</f>
        <v>50000</v>
      </c>
      <c r="C35" s="62">
        <f>C36</f>
        <v>50000</v>
      </c>
      <c r="D35" s="62">
        <f t="shared" ref="D35:P35" si="6">D36</f>
        <v>0</v>
      </c>
      <c r="E35" s="62">
        <f t="shared" si="6"/>
        <v>0</v>
      </c>
      <c r="F35" s="62">
        <f t="shared" si="6"/>
        <v>24000</v>
      </c>
      <c r="G35" s="62">
        <f t="shared" si="6"/>
        <v>0</v>
      </c>
      <c r="H35" s="62">
        <f t="shared" si="6"/>
        <v>0</v>
      </c>
      <c r="I35" s="62">
        <f t="shared" si="6"/>
        <v>0</v>
      </c>
      <c r="J35" s="62">
        <f t="shared" si="6"/>
        <v>0</v>
      </c>
      <c r="K35" s="62">
        <f t="shared" si="6"/>
        <v>0</v>
      </c>
      <c r="L35" s="62">
        <f t="shared" si="6"/>
        <v>0</v>
      </c>
      <c r="M35" s="62">
        <f t="shared" si="6"/>
        <v>0</v>
      </c>
      <c r="N35" s="62">
        <f t="shared" si="6"/>
        <v>0</v>
      </c>
      <c r="O35" s="62">
        <f t="shared" si="6"/>
        <v>0</v>
      </c>
      <c r="P35" s="62">
        <f t="shared" si="6"/>
        <v>24000</v>
      </c>
    </row>
    <row r="36" spans="1:16" s="63" customFormat="1" ht="15.75" customHeight="1" x14ac:dyDescent="0.2">
      <c r="A36" s="67" t="s">
        <v>28</v>
      </c>
      <c r="B36" s="65">
        <v>50000</v>
      </c>
      <c r="C36" s="65">
        <v>50000</v>
      </c>
      <c r="D36" s="65">
        <v>0</v>
      </c>
      <c r="E36" s="65">
        <v>0</v>
      </c>
      <c r="F36" s="65">
        <v>24000</v>
      </c>
      <c r="G36" s="65">
        <v>0</v>
      </c>
      <c r="H36" s="65">
        <v>0</v>
      </c>
      <c r="I36" s="65">
        <v>0</v>
      </c>
      <c r="J36" s="65">
        <v>0</v>
      </c>
      <c r="K36" s="65">
        <v>0</v>
      </c>
      <c r="L36" s="65">
        <v>0</v>
      </c>
      <c r="M36" s="65">
        <v>0</v>
      </c>
      <c r="N36" s="65">
        <v>0</v>
      </c>
      <c r="O36" s="65">
        <v>0</v>
      </c>
      <c r="P36" s="65">
        <f>SUM(D36:O36)</f>
        <v>24000</v>
      </c>
    </row>
    <row r="37" spans="1:16" s="63" customFormat="1" ht="15.75" customHeight="1" x14ac:dyDescent="0.2">
      <c r="A37" s="67" t="s">
        <v>29</v>
      </c>
      <c r="B37" s="65">
        <v>0</v>
      </c>
      <c r="C37" s="65">
        <v>0</v>
      </c>
      <c r="D37" s="65">
        <v>0</v>
      </c>
      <c r="E37" s="65">
        <v>0</v>
      </c>
      <c r="F37" s="65">
        <v>0</v>
      </c>
      <c r="G37" s="65">
        <v>0</v>
      </c>
      <c r="H37" s="65">
        <v>0</v>
      </c>
      <c r="I37" s="65">
        <v>0</v>
      </c>
      <c r="J37" s="65">
        <v>0</v>
      </c>
      <c r="K37" s="65">
        <v>0</v>
      </c>
      <c r="L37" s="65">
        <v>0</v>
      </c>
      <c r="M37" s="65">
        <v>0</v>
      </c>
      <c r="N37" s="65">
        <v>0</v>
      </c>
      <c r="O37" s="65">
        <v>0</v>
      </c>
      <c r="P37" s="65">
        <v>0</v>
      </c>
    </row>
    <row r="38" spans="1:16" s="63" customFormat="1" ht="15.75" customHeight="1" x14ac:dyDescent="0.2">
      <c r="A38" s="67" t="s">
        <v>30</v>
      </c>
      <c r="B38" s="65">
        <v>0</v>
      </c>
      <c r="C38" s="65">
        <v>0</v>
      </c>
      <c r="D38" s="65">
        <v>0</v>
      </c>
      <c r="E38" s="65">
        <v>0</v>
      </c>
      <c r="F38" s="65">
        <v>0</v>
      </c>
      <c r="G38" s="65">
        <v>0</v>
      </c>
      <c r="H38" s="65">
        <v>0</v>
      </c>
      <c r="I38" s="65">
        <v>0</v>
      </c>
      <c r="J38" s="65">
        <v>0</v>
      </c>
      <c r="K38" s="65">
        <v>0</v>
      </c>
      <c r="L38" s="65">
        <v>0</v>
      </c>
      <c r="M38" s="65">
        <v>0</v>
      </c>
      <c r="N38" s="65">
        <v>0</v>
      </c>
      <c r="O38" s="65">
        <v>0</v>
      </c>
      <c r="P38" s="65">
        <v>0</v>
      </c>
    </row>
    <row r="39" spans="1:16" s="63" customFormat="1" ht="15.75" customHeight="1" x14ac:dyDescent="0.2">
      <c r="A39" s="67" t="s">
        <v>31</v>
      </c>
      <c r="B39" s="65">
        <v>0</v>
      </c>
      <c r="C39" s="65">
        <v>0</v>
      </c>
      <c r="D39" s="65">
        <v>0</v>
      </c>
      <c r="E39" s="65">
        <v>0</v>
      </c>
      <c r="F39" s="65">
        <v>0</v>
      </c>
      <c r="G39" s="65">
        <v>0</v>
      </c>
      <c r="H39" s="65">
        <v>0</v>
      </c>
      <c r="I39" s="65">
        <v>0</v>
      </c>
      <c r="J39" s="65">
        <v>0</v>
      </c>
      <c r="K39" s="65">
        <v>0</v>
      </c>
      <c r="L39" s="65">
        <v>0</v>
      </c>
      <c r="M39" s="65">
        <v>0</v>
      </c>
      <c r="N39" s="65">
        <v>0</v>
      </c>
      <c r="O39" s="65">
        <v>0</v>
      </c>
      <c r="P39" s="65">
        <v>0</v>
      </c>
    </row>
    <row r="40" spans="1:16" s="63" customFormat="1" ht="15.75" customHeight="1" x14ac:dyDescent="0.2">
      <c r="A40" s="67" t="s">
        <v>32</v>
      </c>
      <c r="B40" s="65">
        <v>0</v>
      </c>
      <c r="C40" s="65">
        <v>0</v>
      </c>
      <c r="D40" s="65">
        <v>0</v>
      </c>
      <c r="E40" s="65">
        <v>0</v>
      </c>
      <c r="F40" s="65">
        <v>0</v>
      </c>
      <c r="G40" s="65">
        <v>0</v>
      </c>
      <c r="H40" s="65">
        <v>0</v>
      </c>
      <c r="I40" s="65">
        <v>0</v>
      </c>
      <c r="J40" s="65">
        <v>0</v>
      </c>
      <c r="K40" s="65">
        <v>0</v>
      </c>
      <c r="L40" s="65">
        <v>0</v>
      </c>
      <c r="M40" s="65">
        <v>0</v>
      </c>
      <c r="N40" s="65">
        <v>0</v>
      </c>
      <c r="O40" s="65">
        <v>0</v>
      </c>
      <c r="P40" s="65">
        <v>0</v>
      </c>
    </row>
    <row r="41" spans="1:16" s="63" customFormat="1" ht="15.75" customHeight="1" x14ac:dyDescent="0.2">
      <c r="A41" s="67" t="s">
        <v>33</v>
      </c>
      <c r="B41" s="65">
        <v>0</v>
      </c>
      <c r="C41" s="65">
        <v>0</v>
      </c>
      <c r="D41" s="65">
        <v>0</v>
      </c>
      <c r="E41" s="65">
        <v>0</v>
      </c>
      <c r="F41" s="65">
        <v>0</v>
      </c>
      <c r="G41" s="65">
        <v>0</v>
      </c>
      <c r="H41" s="65">
        <v>0</v>
      </c>
      <c r="I41" s="65">
        <v>0</v>
      </c>
      <c r="J41" s="65">
        <v>0</v>
      </c>
      <c r="K41" s="65">
        <v>0</v>
      </c>
      <c r="L41" s="65">
        <v>0</v>
      </c>
      <c r="M41" s="65">
        <v>0</v>
      </c>
      <c r="N41" s="65">
        <v>0</v>
      </c>
      <c r="O41" s="65">
        <v>0</v>
      </c>
      <c r="P41" s="65">
        <v>0</v>
      </c>
    </row>
    <row r="42" spans="1:16" s="63" customFormat="1" ht="15.75" customHeight="1" x14ac:dyDescent="0.2">
      <c r="A42" s="67" t="s">
        <v>34</v>
      </c>
      <c r="B42" s="65">
        <v>0</v>
      </c>
      <c r="C42" s="65">
        <v>0</v>
      </c>
      <c r="D42" s="65">
        <v>0</v>
      </c>
      <c r="E42" s="65">
        <v>0</v>
      </c>
      <c r="F42" s="65">
        <v>0</v>
      </c>
      <c r="G42" s="65">
        <v>0</v>
      </c>
      <c r="H42" s="65">
        <v>0</v>
      </c>
      <c r="I42" s="65">
        <v>0</v>
      </c>
      <c r="J42" s="65">
        <v>0</v>
      </c>
      <c r="K42" s="65">
        <v>0</v>
      </c>
      <c r="L42" s="65">
        <v>0</v>
      </c>
      <c r="M42" s="65">
        <v>0</v>
      </c>
      <c r="N42" s="65">
        <v>0</v>
      </c>
      <c r="O42" s="65">
        <v>0</v>
      </c>
      <c r="P42" s="65">
        <v>0</v>
      </c>
    </row>
    <row r="43" spans="1:16" s="63" customFormat="1" ht="15.75" customHeight="1" x14ac:dyDescent="0.2">
      <c r="A43" s="67" t="s">
        <v>35</v>
      </c>
      <c r="B43" s="65">
        <v>0</v>
      </c>
      <c r="C43" s="65">
        <v>0</v>
      </c>
      <c r="D43" s="65">
        <v>0</v>
      </c>
      <c r="E43" s="65">
        <v>0</v>
      </c>
      <c r="F43" s="65">
        <v>0</v>
      </c>
      <c r="G43" s="65">
        <v>0</v>
      </c>
      <c r="H43" s="65">
        <v>0</v>
      </c>
      <c r="I43" s="65">
        <v>0</v>
      </c>
      <c r="J43" s="65">
        <v>0</v>
      </c>
      <c r="K43" s="65">
        <v>0</v>
      </c>
      <c r="L43" s="65">
        <v>0</v>
      </c>
      <c r="M43" s="65">
        <v>0</v>
      </c>
      <c r="N43" s="65">
        <v>0</v>
      </c>
      <c r="O43" s="65">
        <v>0</v>
      </c>
      <c r="P43" s="65">
        <v>0</v>
      </c>
    </row>
    <row r="44" spans="1:16" s="63" customFormat="1" ht="15.75" customHeight="1" x14ac:dyDescent="0.2">
      <c r="A44" s="61" t="s">
        <v>36</v>
      </c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</row>
    <row r="45" spans="1:16" s="63" customFormat="1" ht="15.75" customHeight="1" x14ac:dyDescent="0.2">
      <c r="A45" s="67" t="s">
        <v>37</v>
      </c>
      <c r="B45" s="65">
        <v>0</v>
      </c>
      <c r="C45" s="65">
        <v>0</v>
      </c>
      <c r="D45" s="65">
        <v>0</v>
      </c>
      <c r="E45" s="65">
        <v>0</v>
      </c>
      <c r="F45" s="65">
        <v>0</v>
      </c>
      <c r="G45" s="65">
        <v>0</v>
      </c>
      <c r="H45" s="65">
        <v>0</v>
      </c>
      <c r="I45" s="65">
        <v>0</v>
      </c>
      <c r="J45" s="65">
        <v>0</v>
      </c>
      <c r="K45" s="65">
        <v>0</v>
      </c>
      <c r="L45" s="65">
        <v>0</v>
      </c>
      <c r="M45" s="65">
        <v>0</v>
      </c>
      <c r="N45" s="65">
        <v>0</v>
      </c>
      <c r="O45" s="65">
        <v>0</v>
      </c>
      <c r="P45" s="65">
        <v>0</v>
      </c>
    </row>
    <row r="46" spans="1:16" s="63" customFormat="1" ht="15.75" customHeight="1" x14ac:dyDescent="0.2">
      <c r="A46" s="67" t="s">
        <v>38</v>
      </c>
      <c r="B46" s="65">
        <v>0</v>
      </c>
      <c r="C46" s="65">
        <v>0</v>
      </c>
      <c r="D46" s="65">
        <v>0</v>
      </c>
      <c r="E46" s="65">
        <v>0</v>
      </c>
      <c r="F46" s="65">
        <v>0</v>
      </c>
      <c r="G46" s="65">
        <v>0</v>
      </c>
      <c r="H46" s="65">
        <v>0</v>
      </c>
      <c r="I46" s="65">
        <v>0</v>
      </c>
      <c r="J46" s="65">
        <v>0</v>
      </c>
      <c r="K46" s="65">
        <v>0</v>
      </c>
      <c r="L46" s="65">
        <v>0</v>
      </c>
      <c r="M46" s="65">
        <v>0</v>
      </c>
      <c r="N46" s="65">
        <v>0</v>
      </c>
      <c r="O46" s="65">
        <v>0</v>
      </c>
      <c r="P46" s="65">
        <v>0</v>
      </c>
    </row>
    <row r="47" spans="1:16" s="63" customFormat="1" ht="15.75" customHeight="1" x14ac:dyDescent="0.2">
      <c r="A47" s="67" t="s">
        <v>39</v>
      </c>
      <c r="B47" s="65">
        <v>0</v>
      </c>
      <c r="C47" s="65">
        <v>0</v>
      </c>
      <c r="D47" s="65">
        <v>0</v>
      </c>
      <c r="E47" s="65">
        <v>0</v>
      </c>
      <c r="F47" s="65">
        <v>0</v>
      </c>
      <c r="G47" s="65">
        <v>0</v>
      </c>
      <c r="H47" s="65">
        <v>0</v>
      </c>
      <c r="I47" s="65">
        <v>0</v>
      </c>
      <c r="J47" s="65">
        <v>0</v>
      </c>
      <c r="K47" s="65">
        <v>0</v>
      </c>
      <c r="L47" s="65">
        <v>0</v>
      </c>
      <c r="M47" s="65">
        <v>0</v>
      </c>
      <c r="N47" s="65">
        <v>0</v>
      </c>
      <c r="O47" s="65">
        <v>0</v>
      </c>
      <c r="P47" s="65">
        <v>0</v>
      </c>
    </row>
    <row r="48" spans="1:16" s="63" customFormat="1" ht="15.75" customHeight="1" x14ac:dyDescent="0.2">
      <c r="A48" s="67" t="s">
        <v>40</v>
      </c>
      <c r="B48" s="65">
        <v>0</v>
      </c>
      <c r="C48" s="65">
        <v>0</v>
      </c>
      <c r="D48" s="65">
        <v>0</v>
      </c>
      <c r="E48" s="65">
        <v>0</v>
      </c>
      <c r="F48" s="65">
        <v>0</v>
      </c>
      <c r="G48" s="65">
        <v>0</v>
      </c>
      <c r="H48" s="65">
        <v>0</v>
      </c>
      <c r="I48" s="65">
        <v>0</v>
      </c>
      <c r="J48" s="65">
        <v>0</v>
      </c>
      <c r="K48" s="65">
        <v>0</v>
      </c>
      <c r="L48" s="65">
        <v>0</v>
      </c>
      <c r="M48" s="65">
        <v>0</v>
      </c>
      <c r="N48" s="65">
        <v>0</v>
      </c>
      <c r="O48" s="65">
        <v>0</v>
      </c>
      <c r="P48" s="65">
        <v>0</v>
      </c>
    </row>
    <row r="49" spans="1:16" s="63" customFormat="1" ht="15.75" customHeight="1" x14ac:dyDescent="0.2">
      <c r="A49" s="67" t="s">
        <v>41</v>
      </c>
      <c r="B49" s="65">
        <v>0</v>
      </c>
      <c r="C49" s="65">
        <v>0</v>
      </c>
      <c r="D49" s="65">
        <v>0</v>
      </c>
      <c r="E49" s="65">
        <v>0</v>
      </c>
      <c r="F49" s="65">
        <v>0</v>
      </c>
      <c r="G49" s="65">
        <v>0</v>
      </c>
      <c r="H49" s="65">
        <v>0</v>
      </c>
      <c r="I49" s="65">
        <v>0</v>
      </c>
      <c r="J49" s="65">
        <v>0</v>
      </c>
      <c r="K49" s="65">
        <v>0</v>
      </c>
      <c r="L49" s="65">
        <v>0</v>
      </c>
      <c r="M49" s="65">
        <v>0</v>
      </c>
      <c r="N49" s="65">
        <v>0</v>
      </c>
      <c r="O49" s="65">
        <v>0</v>
      </c>
      <c r="P49" s="65">
        <v>0</v>
      </c>
    </row>
    <row r="50" spans="1:16" s="63" customFormat="1" ht="15.75" customHeight="1" x14ac:dyDescent="0.2">
      <c r="A50" s="67" t="s">
        <v>42</v>
      </c>
      <c r="B50" s="65">
        <v>0</v>
      </c>
      <c r="C50" s="65">
        <v>0</v>
      </c>
      <c r="D50" s="65">
        <v>0</v>
      </c>
      <c r="E50" s="65">
        <v>0</v>
      </c>
      <c r="F50" s="65">
        <v>0</v>
      </c>
      <c r="G50" s="65">
        <v>0</v>
      </c>
      <c r="H50" s="65">
        <v>0</v>
      </c>
      <c r="I50" s="65">
        <v>0</v>
      </c>
      <c r="J50" s="65">
        <v>0</v>
      </c>
      <c r="K50" s="65">
        <v>0</v>
      </c>
      <c r="L50" s="65">
        <v>0</v>
      </c>
      <c r="M50" s="65">
        <v>0</v>
      </c>
      <c r="N50" s="65">
        <v>0</v>
      </c>
      <c r="O50" s="65">
        <v>0</v>
      </c>
      <c r="P50" s="65">
        <v>0</v>
      </c>
    </row>
    <row r="51" spans="1:16" s="63" customFormat="1" ht="15.75" customHeight="1" x14ac:dyDescent="0.2">
      <c r="A51" s="61" t="s">
        <v>43</v>
      </c>
      <c r="B51" s="62">
        <f>B52+B55+B56</f>
        <v>1000000</v>
      </c>
      <c r="C51" s="62">
        <f>C52+C55+C56+C53+C59</f>
        <v>1516500</v>
      </c>
      <c r="D51" s="62">
        <f>D52+D55+D56</f>
        <v>0</v>
      </c>
      <c r="E51" s="62">
        <f>E52+E55+E56</f>
        <v>0</v>
      </c>
      <c r="F51" s="62">
        <f>F52+F55+F56+F59</f>
        <v>842496.34</v>
      </c>
      <c r="G51" s="62">
        <f>G52+G55+G56</f>
        <v>0</v>
      </c>
      <c r="H51" s="62">
        <f>H53+H52</f>
        <v>24721</v>
      </c>
      <c r="I51" s="62">
        <f t="shared" ref="I51:M51" si="7">I52+I55+I56</f>
        <v>78242.290000000008</v>
      </c>
      <c r="J51" s="62">
        <f t="shared" si="7"/>
        <v>0</v>
      </c>
      <c r="K51" s="62">
        <f t="shared" si="7"/>
        <v>118631.54</v>
      </c>
      <c r="L51" s="62">
        <f>L52+L55+L56+L53</f>
        <v>0</v>
      </c>
      <c r="M51" s="62">
        <f t="shared" si="7"/>
        <v>177343.5</v>
      </c>
      <c r="N51" s="62">
        <f>N52+N55+N56+N53+N59</f>
        <v>94300.9</v>
      </c>
      <c r="O51" s="62">
        <f>O52+O55+O56+O53</f>
        <v>105374</v>
      </c>
      <c r="P51" s="62">
        <f>SUM(D51:O51)</f>
        <v>1441109.5699999998</v>
      </c>
    </row>
    <row r="52" spans="1:16" s="63" customFormat="1" ht="15.75" customHeight="1" x14ac:dyDescent="0.2">
      <c r="A52" s="67" t="s">
        <v>44</v>
      </c>
      <c r="B52" s="65">
        <v>650000</v>
      </c>
      <c r="C52" s="65">
        <v>1364000</v>
      </c>
      <c r="D52" s="65">
        <v>0</v>
      </c>
      <c r="E52" s="65">
        <v>0</v>
      </c>
      <c r="F52" s="65">
        <v>802496.34</v>
      </c>
      <c r="G52" s="65">
        <v>0</v>
      </c>
      <c r="H52" s="65">
        <v>24721</v>
      </c>
      <c r="I52" s="65">
        <v>76934.3</v>
      </c>
      <c r="J52" s="65">
        <v>0</v>
      </c>
      <c r="K52" s="65">
        <v>103291.54</v>
      </c>
      <c r="L52" s="65">
        <v>0</v>
      </c>
      <c r="M52" s="65">
        <f>138138+39205.5</f>
        <v>177343.5</v>
      </c>
      <c r="N52" s="65">
        <v>4578.3999999999996</v>
      </c>
      <c r="O52" s="65">
        <v>105374</v>
      </c>
      <c r="P52" s="65">
        <f>SUM(D52:O52)</f>
        <v>1294739.08</v>
      </c>
    </row>
    <row r="53" spans="1:16" s="63" customFormat="1" ht="15.75" customHeight="1" x14ac:dyDescent="0.2">
      <c r="A53" s="67" t="s">
        <v>45</v>
      </c>
      <c r="B53" s="65">
        <v>0</v>
      </c>
      <c r="C53" s="65">
        <v>0</v>
      </c>
      <c r="D53" s="65">
        <v>0</v>
      </c>
      <c r="E53" s="65">
        <v>0</v>
      </c>
      <c r="F53" s="65">
        <v>0</v>
      </c>
      <c r="G53" s="65">
        <v>0</v>
      </c>
      <c r="H53" s="65">
        <v>0</v>
      </c>
      <c r="I53" s="65">
        <v>0</v>
      </c>
      <c r="J53" s="65">
        <v>0</v>
      </c>
      <c r="K53" s="65">
        <v>0</v>
      </c>
      <c r="L53" s="65">
        <v>0</v>
      </c>
      <c r="M53" s="65">
        <v>0</v>
      </c>
      <c r="N53" s="65">
        <v>0</v>
      </c>
      <c r="O53" s="65">
        <v>0</v>
      </c>
      <c r="P53" s="65">
        <f>SUM(D53:O53)</f>
        <v>0</v>
      </c>
    </row>
    <row r="54" spans="1:16" s="63" customFormat="1" ht="15.75" customHeight="1" x14ac:dyDescent="0.2">
      <c r="A54" s="67" t="s">
        <v>46</v>
      </c>
      <c r="B54" s="65">
        <v>0</v>
      </c>
      <c r="C54" s="65">
        <v>0</v>
      </c>
      <c r="D54" s="65">
        <v>0</v>
      </c>
      <c r="E54" s="65">
        <v>0</v>
      </c>
      <c r="F54" s="65">
        <v>0</v>
      </c>
      <c r="G54" s="65">
        <v>0</v>
      </c>
      <c r="H54" s="65">
        <v>0</v>
      </c>
      <c r="I54" s="65">
        <v>0</v>
      </c>
      <c r="J54" s="65">
        <v>0</v>
      </c>
      <c r="K54" s="65">
        <v>0</v>
      </c>
      <c r="L54" s="65">
        <v>0</v>
      </c>
      <c r="M54" s="65">
        <v>0</v>
      </c>
      <c r="N54" s="65">
        <v>0</v>
      </c>
      <c r="O54" s="65">
        <v>0</v>
      </c>
      <c r="P54" s="65">
        <f t="shared" ref="P54:P56" si="8">SUM(D54:O54)</f>
        <v>0</v>
      </c>
    </row>
    <row r="55" spans="1:16" s="63" customFormat="1" ht="15.75" customHeight="1" x14ac:dyDescent="0.2">
      <c r="A55" s="67" t="s">
        <v>47</v>
      </c>
      <c r="B55" s="65">
        <v>0</v>
      </c>
      <c r="C55" s="65">
        <v>0</v>
      </c>
      <c r="D55" s="65">
        <v>0</v>
      </c>
      <c r="E55" s="65">
        <v>0</v>
      </c>
      <c r="F55" s="65">
        <v>0</v>
      </c>
      <c r="G55" s="65">
        <v>0</v>
      </c>
      <c r="H55" s="65">
        <v>0</v>
      </c>
      <c r="I55" s="65">
        <v>0</v>
      </c>
      <c r="J55" s="65">
        <v>0</v>
      </c>
      <c r="K55" s="65">
        <v>0</v>
      </c>
      <c r="L55" s="65">
        <v>0</v>
      </c>
      <c r="M55" s="65">
        <v>0</v>
      </c>
      <c r="N55" s="65">
        <v>0</v>
      </c>
      <c r="O55" s="65">
        <v>0</v>
      </c>
      <c r="P55" s="65">
        <f t="shared" si="8"/>
        <v>0</v>
      </c>
    </row>
    <row r="56" spans="1:16" s="63" customFormat="1" ht="15.75" customHeight="1" x14ac:dyDescent="0.2">
      <c r="A56" s="67" t="s">
        <v>48</v>
      </c>
      <c r="B56" s="65">
        <v>350000</v>
      </c>
      <c r="C56" s="65">
        <v>112500</v>
      </c>
      <c r="D56" s="65">
        <v>0</v>
      </c>
      <c r="E56" s="65">
        <v>0</v>
      </c>
      <c r="F56" s="65">
        <v>0</v>
      </c>
      <c r="G56" s="65">
        <v>0</v>
      </c>
      <c r="H56" s="65">
        <v>0</v>
      </c>
      <c r="I56" s="65">
        <v>1307.99</v>
      </c>
      <c r="J56" s="65">
        <v>0</v>
      </c>
      <c r="K56" s="65">
        <v>15340</v>
      </c>
      <c r="L56" s="65">
        <v>0</v>
      </c>
      <c r="M56" s="65">
        <v>0</v>
      </c>
      <c r="N56" s="65">
        <v>89722.5</v>
      </c>
      <c r="O56" s="65">
        <v>0</v>
      </c>
      <c r="P56" s="65">
        <f t="shared" si="8"/>
        <v>106370.49</v>
      </c>
    </row>
    <row r="57" spans="1:16" s="63" customFormat="1" ht="15.75" customHeight="1" x14ac:dyDescent="0.2">
      <c r="A57" s="67" t="s">
        <v>49</v>
      </c>
      <c r="B57" s="65">
        <v>0</v>
      </c>
      <c r="C57" s="65">
        <v>0</v>
      </c>
      <c r="D57" s="65">
        <v>0</v>
      </c>
      <c r="E57" s="65">
        <v>0</v>
      </c>
      <c r="F57" s="65">
        <v>0</v>
      </c>
      <c r="G57" s="65">
        <v>0</v>
      </c>
      <c r="H57" s="65">
        <v>0</v>
      </c>
      <c r="I57" s="65">
        <v>0</v>
      </c>
      <c r="J57" s="65">
        <v>0</v>
      </c>
      <c r="K57" s="65">
        <v>0</v>
      </c>
      <c r="L57" s="65">
        <v>0</v>
      </c>
      <c r="M57" s="65">
        <v>0</v>
      </c>
      <c r="N57" s="65">
        <v>0</v>
      </c>
      <c r="O57" s="65">
        <v>0</v>
      </c>
      <c r="P57" s="65">
        <v>0</v>
      </c>
    </row>
    <row r="58" spans="1:16" s="63" customFormat="1" ht="15.75" customHeight="1" x14ac:dyDescent="0.2">
      <c r="A58" s="67" t="s">
        <v>50</v>
      </c>
      <c r="B58" s="65">
        <v>0</v>
      </c>
      <c r="C58" s="65">
        <v>0</v>
      </c>
      <c r="D58" s="65">
        <v>0</v>
      </c>
      <c r="E58" s="65">
        <v>0</v>
      </c>
      <c r="F58" s="65">
        <v>0</v>
      </c>
      <c r="G58" s="65">
        <v>0</v>
      </c>
      <c r="H58" s="65">
        <v>0</v>
      </c>
      <c r="I58" s="65">
        <v>0</v>
      </c>
      <c r="J58" s="65">
        <v>0</v>
      </c>
      <c r="K58" s="65">
        <v>0</v>
      </c>
      <c r="L58" s="65">
        <v>0</v>
      </c>
      <c r="M58" s="65">
        <v>0</v>
      </c>
      <c r="N58" s="65">
        <v>0</v>
      </c>
      <c r="O58" s="65">
        <v>0</v>
      </c>
      <c r="P58" s="65">
        <v>0</v>
      </c>
    </row>
    <row r="59" spans="1:16" s="63" customFormat="1" ht="15.75" customHeight="1" x14ac:dyDescent="0.2">
      <c r="A59" s="67" t="s">
        <v>51</v>
      </c>
      <c r="B59" s="65">
        <v>0</v>
      </c>
      <c r="C59" s="65">
        <v>40000</v>
      </c>
      <c r="D59" s="65">
        <v>0</v>
      </c>
      <c r="E59" s="65">
        <v>0</v>
      </c>
      <c r="F59" s="65">
        <v>40000</v>
      </c>
      <c r="G59" s="65">
        <v>0</v>
      </c>
      <c r="H59" s="65">
        <v>0</v>
      </c>
      <c r="I59" s="65">
        <v>0</v>
      </c>
      <c r="J59" s="65">
        <v>0</v>
      </c>
      <c r="K59" s="65">
        <v>0</v>
      </c>
      <c r="L59" s="65">
        <v>0</v>
      </c>
      <c r="M59" s="65">
        <v>0</v>
      </c>
      <c r="N59" s="65">
        <v>0</v>
      </c>
      <c r="O59" s="65">
        <v>0</v>
      </c>
      <c r="P59" s="65">
        <f>SUM(D59:O59)</f>
        <v>40000</v>
      </c>
    </row>
    <row r="60" spans="1:16" s="63" customFormat="1" ht="15.75" customHeight="1" x14ac:dyDescent="0.2">
      <c r="A60" s="67" t="s">
        <v>52</v>
      </c>
      <c r="B60" s="65">
        <v>0</v>
      </c>
      <c r="C60" s="65">
        <v>0</v>
      </c>
      <c r="D60" s="65">
        <v>0</v>
      </c>
      <c r="E60" s="65">
        <v>0</v>
      </c>
      <c r="F60" s="65">
        <v>0</v>
      </c>
      <c r="G60" s="65">
        <v>0</v>
      </c>
      <c r="H60" s="65">
        <v>0</v>
      </c>
      <c r="I60" s="65">
        <v>0</v>
      </c>
      <c r="J60" s="65">
        <v>0</v>
      </c>
      <c r="K60" s="65">
        <v>0</v>
      </c>
      <c r="L60" s="65">
        <v>0</v>
      </c>
      <c r="M60" s="65">
        <v>0</v>
      </c>
      <c r="N60" s="65">
        <v>0</v>
      </c>
      <c r="O60" s="65">
        <v>0</v>
      </c>
      <c r="P60" s="65">
        <v>0</v>
      </c>
    </row>
    <row r="61" spans="1:16" s="63" customFormat="1" ht="15.75" customHeight="1" x14ac:dyDescent="0.2">
      <c r="A61" s="61" t="s">
        <v>53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</row>
    <row r="62" spans="1:16" s="63" customFormat="1" ht="15.75" customHeight="1" x14ac:dyDescent="0.2">
      <c r="A62" s="67" t="s">
        <v>54</v>
      </c>
      <c r="B62" s="65">
        <v>0</v>
      </c>
      <c r="C62" s="65">
        <v>0</v>
      </c>
      <c r="D62" s="65">
        <v>0</v>
      </c>
      <c r="E62" s="65">
        <v>0</v>
      </c>
      <c r="F62" s="65">
        <v>0</v>
      </c>
      <c r="G62" s="65">
        <v>0</v>
      </c>
      <c r="H62" s="65">
        <v>0</v>
      </c>
      <c r="I62" s="65">
        <v>0</v>
      </c>
      <c r="J62" s="65">
        <v>0</v>
      </c>
      <c r="K62" s="65">
        <v>0</v>
      </c>
      <c r="L62" s="65">
        <v>0</v>
      </c>
      <c r="M62" s="65">
        <v>0</v>
      </c>
      <c r="N62" s="65">
        <v>0</v>
      </c>
      <c r="O62" s="65">
        <v>0</v>
      </c>
      <c r="P62" s="65">
        <v>0</v>
      </c>
    </row>
    <row r="63" spans="1:16" s="63" customFormat="1" ht="15.75" customHeight="1" x14ac:dyDescent="0.2">
      <c r="A63" s="67" t="s">
        <v>55</v>
      </c>
      <c r="B63" s="65">
        <v>0</v>
      </c>
      <c r="C63" s="65">
        <v>0</v>
      </c>
      <c r="D63" s="65">
        <v>0</v>
      </c>
      <c r="E63" s="65">
        <v>0</v>
      </c>
      <c r="F63" s="65">
        <v>0</v>
      </c>
      <c r="G63" s="65">
        <v>0</v>
      </c>
      <c r="H63" s="65">
        <v>0</v>
      </c>
      <c r="I63" s="65">
        <v>0</v>
      </c>
      <c r="J63" s="65">
        <v>0</v>
      </c>
      <c r="K63" s="65">
        <v>0</v>
      </c>
      <c r="L63" s="65">
        <v>0</v>
      </c>
      <c r="M63" s="65">
        <v>0</v>
      </c>
      <c r="N63" s="65">
        <v>0</v>
      </c>
      <c r="O63" s="65">
        <v>0</v>
      </c>
      <c r="P63" s="65">
        <v>0</v>
      </c>
    </row>
    <row r="64" spans="1:16" s="63" customFormat="1" ht="15.75" customHeight="1" x14ac:dyDescent="0.2">
      <c r="A64" s="67" t="s">
        <v>56</v>
      </c>
      <c r="B64" s="65">
        <v>0</v>
      </c>
      <c r="C64" s="65">
        <v>0</v>
      </c>
      <c r="D64" s="65">
        <v>0</v>
      </c>
      <c r="E64" s="65">
        <v>0</v>
      </c>
      <c r="F64" s="65">
        <v>0</v>
      </c>
      <c r="G64" s="65">
        <v>0</v>
      </c>
      <c r="H64" s="65">
        <v>0</v>
      </c>
      <c r="I64" s="65">
        <v>0</v>
      </c>
      <c r="J64" s="65">
        <v>0</v>
      </c>
      <c r="K64" s="65">
        <v>0</v>
      </c>
      <c r="L64" s="65">
        <v>0</v>
      </c>
      <c r="M64" s="65">
        <v>0</v>
      </c>
      <c r="N64" s="65">
        <v>0</v>
      </c>
      <c r="O64" s="65">
        <v>0</v>
      </c>
      <c r="P64" s="65">
        <v>0</v>
      </c>
    </row>
    <row r="65" spans="1:16" s="63" customFormat="1" ht="15.75" customHeight="1" x14ac:dyDescent="0.2">
      <c r="A65" s="67" t="s">
        <v>57</v>
      </c>
      <c r="B65" s="65">
        <v>0</v>
      </c>
      <c r="C65" s="65">
        <v>0</v>
      </c>
      <c r="D65" s="65">
        <v>0</v>
      </c>
      <c r="E65" s="65">
        <v>0</v>
      </c>
      <c r="F65" s="65">
        <v>0</v>
      </c>
      <c r="G65" s="65">
        <v>0</v>
      </c>
      <c r="H65" s="65">
        <v>0</v>
      </c>
      <c r="I65" s="65">
        <v>0</v>
      </c>
      <c r="J65" s="65">
        <v>0</v>
      </c>
      <c r="K65" s="65">
        <v>0</v>
      </c>
      <c r="L65" s="65">
        <v>0</v>
      </c>
      <c r="M65" s="65">
        <v>0</v>
      </c>
      <c r="N65" s="65">
        <v>0</v>
      </c>
      <c r="O65" s="65">
        <v>0</v>
      </c>
      <c r="P65" s="65">
        <v>0</v>
      </c>
    </row>
    <row r="66" spans="1:16" s="63" customFormat="1" ht="15.75" customHeight="1" x14ac:dyDescent="0.2">
      <c r="A66" s="61" t="s">
        <v>58</v>
      </c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</row>
    <row r="67" spans="1:16" s="63" customFormat="1" ht="15.75" customHeight="1" x14ac:dyDescent="0.2">
      <c r="A67" s="67" t="s">
        <v>59</v>
      </c>
      <c r="B67" s="65">
        <v>0</v>
      </c>
      <c r="C67" s="65">
        <v>0</v>
      </c>
      <c r="D67" s="65">
        <v>0</v>
      </c>
      <c r="E67" s="65">
        <v>0</v>
      </c>
      <c r="F67" s="65">
        <v>0</v>
      </c>
      <c r="G67" s="65">
        <v>0</v>
      </c>
      <c r="H67" s="65">
        <v>0</v>
      </c>
      <c r="I67" s="65">
        <v>0</v>
      </c>
      <c r="J67" s="65">
        <v>0</v>
      </c>
      <c r="K67" s="65">
        <v>0</v>
      </c>
      <c r="L67" s="65">
        <v>0</v>
      </c>
      <c r="M67" s="65">
        <v>0</v>
      </c>
      <c r="N67" s="65">
        <v>0</v>
      </c>
      <c r="O67" s="65">
        <v>0</v>
      </c>
      <c r="P67" s="65">
        <v>0</v>
      </c>
    </row>
    <row r="68" spans="1:16" s="63" customFormat="1" ht="15.75" customHeight="1" x14ac:dyDescent="0.2">
      <c r="A68" s="67" t="s">
        <v>60</v>
      </c>
      <c r="B68" s="65">
        <v>0</v>
      </c>
      <c r="C68" s="65">
        <v>0</v>
      </c>
      <c r="D68" s="65">
        <v>0</v>
      </c>
      <c r="E68" s="65">
        <v>0</v>
      </c>
      <c r="F68" s="65">
        <v>0</v>
      </c>
      <c r="G68" s="65">
        <v>0</v>
      </c>
      <c r="H68" s="65">
        <v>0</v>
      </c>
      <c r="I68" s="65">
        <v>0</v>
      </c>
      <c r="J68" s="65">
        <v>0</v>
      </c>
      <c r="K68" s="65">
        <v>0</v>
      </c>
      <c r="L68" s="65">
        <v>0</v>
      </c>
      <c r="M68" s="65">
        <v>0</v>
      </c>
      <c r="N68" s="65">
        <v>0</v>
      </c>
      <c r="O68" s="65">
        <v>0</v>
      </c>
      <c r="P68" s="65">
        <v>0</v>
      </c>
    </row>
    <row r="69" spans="1:16" s="63" customFormat="1" ht="15.75" customHeight="1" x14ac:dyDescent="0.2">
      <c r="A69" s="61" t="s">
        <v>61</v>
      </c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</row>
    <row r="70" spans="1:16" s="63" customFormat="1" ht="15.75" customHeight="1" x14ac:dyDescent="0.2">
      <c r="A70" s="67" t="s">
        <v>62</v>
      </c>
      <c r="B70" s="65">
        <v>0</v>
      </c>
      <c r="C70" s="65">
        <v>0</v>
      </c>
      <c r="D70" s="65">
        <v>0</v>
      </c>
      <c r="E70" s="65">
        <v>0</v>
      </c>
      <c r="F70" s="65">
        <v>0</v>
      </c>
      <c r="G70" s="65">
        <v>0</v>
      </c>
      <c r="H70" s="65">
        <v>0</v>
      </c>
      <c r="I70" s="65">
        <v>0</v>
      </c>
      <c r="J70" s="65">
        <v>0</v>
      </c>
      <c r="K70" s="65">
        <v>0</v>
      </c>
      <c r="L70" s="65">
        <v>0</v>
      </c>
      <c r="M70" s="65">
        <v>0</v>
      </c>
      <c r="N70" s="65">
        <v>0</v>
      </c>
      <c r="O70" s="65">
        <v>0</v>
      </c>
      <c r="P70" s="65">
        <v>0</v>
      </c>
    </row>
    <row r="71" spans="1:16" s="63" customFormat="1" ht="15.75" customHeight="1" x14ac:dyDescent="0.2">
      <c r="A71" s="67" t="s">
        <v>63</v>
      </c>
      <c r="B71" s="65">
        <v>0</v>
      </c>
      <c r="C71" s="65">
        <v>0</v>
      </c>
      <c r="D71" s="65">
        <v>0</v>
      </c>
      <c r="E71" s="65">
        <v>0</v>
      </c>
      <c r="F71" s="65">
        <v>0</v>
      </c>
      <c r="G71" s="65">
        <v>0</v>
      </c>
      <c r="H71" s="65">
        <v>0</v>
      </c>
      <c r="I71" s="65">
        <v>0</v>
      </c>
      <c r="J71" s="65">
        <v>0</v>
      </c>
      <c r="K71" s="65">
        <v>0</v>
      </c>
      <c r="L71" s="65">
        <v>0</v>
      </c>
      <c r="M71" s="65">
        <v>0</v>
      </c>
      <c r="N71" s="65">
        <v>0</v>
      </c>
      <c r="O71" s="65">
        <v>0</v>
      </c>
      <c r="P71" s="65">
        <v>0</v>
      </c>
    </row>
    <row r="72" spans="1:16" s="63" customFormat="1" ht="15.75" customHeight="1" x14ac:dyDescent="0.2">
      <c r="A72" s="67" t="s">
        <v>64</v>
      </c>
      <c r="B72" s="65">
        <v>0</v>
      </c>
      <c r="C72" s="65">
        <v>0</v>
      </c>
      <c r="D72" s="65">
        <v>0</v>
      </c>
      <c r="E72" s="65">
        <v>0</v>
      </c>
      <c r="F72" s="65">
        <v>0</v>
      </c>
      <c r="G72" s="65">
        <v>0</v>
      </c>
      <c r="H72" s="65">
        <v>0</v>
      </c>
      <c r="I72" s="65">
        <v>0</v>
      </c>
      <c r="J72" s="65">
        <v>0</v>
      </c>
      <c r="K72" s="65">
        <v>0</v>
      </c>
      <c r="L72" s="65">
        <v>0</v>
      </c>
      <c r="M72" s="65">
        <v>0</v>
      </c>
      <c r="N72" s="65">
        <v>0</v>
      </c>
      <c r="O72" s="65">
        <v>0</v>
      </c>
      <c r="P72" s="65">
        <v>0</v>
      </c>
    </row>
    <row r="73" spans="1:16" s="63" customFormat="1" ht="15.75" customHeight="1" x14ac:dyDescent="0.2">
      <c r="A73" s="68" t="s">
        <v>67</v>
      </c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</row>
    <row r="74" spans="1:16" s="63" customFormat="1" ht="15.75" customHeight="1" x14ac:dyDescent="0.2">
      <c r="A74" s="61" t="s">
        <v>68</v>
      </c>
      <c r="B74" s="62"/>
      <c r="C74" s="62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</row>
    <row r="75" spans="1:16" s="63" customFormat="1" ht="15.75" customHeight="1" x14ac:dyDescent="0.2">
      <c r="A75" s="67" t="s">
        <v>69</v>
      </c>
      <c r="B75" s="65">
        <v>0</v>
      </c>
      <c r="C75" s="65">
        <v>0</v>
      </c>
      <c r="D75" s="65">
        <v>0</v>
      </c>
      <c r="E75" s="65">
        <v>0</v>
      </c>
      <c r="F75" s="65">
        <v>0</v>
      </c>
      <c r="G75" s="65">
        <v>0</v>
      </c>
      <c r="H75" s="65">
        <v>0</v>
      </c>
      <c r="I75" s="65">
        <v>0</v>
      </c>
      <c r="J75" s="65">
        <v>0</v>
      </c>
      <c r="K75" s="65">
        <v>0</v>
      </c>
      <c r="L75" s="65">
        <v>0</v>
      </c>
      <c r="M75" s="65">
        <v>0</v>
      </c>
      <c r="N75" s="65">
        <v>0</v>
      </c>
      <c r="O75" s="65">
        <v>0</v>
      </c>
      <c r="P75" s="65">
        <v>0</v>
      </c>
    </row>
    <row r="76" spans="1:16" s="63" customFormat="1" ht="15.75" customHeight="1" x14ac:dyDescent="0.2">
      <c r="A76" s="67" t="s">
        <v>70</v>
      </c>
      <c r="B76" s="65">
        <v>0</v>
      </c>
      <c r="C76" s="65">
        <v>0</v>
      </c>
      <c r="D76" s="65">
        <v>0</v>
      </c>
      <c r="E76" s="65">
        <v>0</v>
      </c>
      <c r="F76" s="65">
        <v>0</v>
      </c>
      <c r="G76" s="65">
        <v>0</v>
      </c>
      <c r="H76" s="65">
        <v>0</v>
      </c>
      <c r="I76" s="65">
        <v>0</v>
      </c>
      <c r="J76" s="65">
        <v>0</v>
      </c>
      <c r="K76" s="65">
        <v>0</v>
      </c>
      <c r="L76" s="65">
        <v>0</v>
      </c>
      <c r="M76" s="65">
        <v>0</v>
      </c>
      <c r="N76" s="65">
        <v>0</v>
      </c>
      <c r="O76" s="65">
        <v>0</v>
      </c>
      <c r="P76" s="65">
        <v>0</v>
      </c>
    </row>
    <row r="77" spans="1:16" s="63" customFormat="1" ht="15.75" customHeight="1" x14ac:dyDescent="0.2">
      <c r="A77" s="61" t="s">
        <v>71</v>
      </c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</row>
    <row r="78" spans="1:16" s="63" customFormat="1" ht="15.75" customHeight="1" x14ac:dyDescent="0.2">
      <c r="A78" s="67" t="s">
        <v>72</v>
      </c>
      <c r="B78" s="65">
        <v>0</v>
      </c>
      <c r="C78" s="65">
        <v>0</v>
      </c>
      <c r="D78" s="65">
        <v>0</v>
      </c>
      <c r="E78" s="65">
        <v>0</v>
      </c>
      <c r="F78" s="65">
        <v>0</v>
      </c>
      <c r="G78" s="65">
        <v>0</v>
      </c>
      <c r="H78" s="65">
        <v>0</v>
      </c>
      <c r="I78" s="65">
        <v>0</v>
      </c>
      <c r="J78" s="65">
        <v>0</v>
      </c>
      <c r="K78" s="65">
        <v>0</v>
      </c>
      <c r="L78" s="65">
        <v>0</v>
      </c>
      <c r="M78" s="65">
        <v>0</v>
      </c>
      <c r="N78" s="65">
        <v>0</v>
      </c>
      <c r="O78" s="65">
        <v>0</v>
      </c>
      <c r="P78" s="65">
        <v>0</v>
      </c>
    </row>
    <row r="79" spans="1:16" s="63" customFormat="1" ht="15.75" customHeight="1" x14ac:dyDescent="0.2">
      <c r="A79" s="67" t="s">
        <v>73</v>
      </c>
      <c r="B79" s="65">
        <v>0</v>
      </c>
      <c r="C79" s="65">
        <v>0</v>
      </c>
      <c r="D79" s="65">
        <v>0</v>
      </c>
      <c r="E79" s="65">
        <v>0</v>
      </c>
      <c r="F79" s="65">
        <v>0</v>
      </c>
      <c r="G79" s="65">
        <v>0</v>
      </c>
      <c r="H79" s="65">
        <v>0</v>
      </c>
      <c r="I79" s="65">
        <v>0</v>
      </c>
      <c r="J79" s="65">
        <v>0</v>
      </c>
      <c r="K79" s="65">
        <v>0</v>
      </c>
      <c r="L79" s="65">
        <v>0</v>
      </c>
      <c r="M79" s="65">
        <v>0</v>
      </c>
      <c r="N79" s="65">
        <v>0</v>
      </c>
      <c r="O79" s="65">
        <v>0</v>
      </c>
      <c r="P79" s="65">
        <v>0</v>
      </c>
    </row>
    <row r="80" spans="1:16" s="63" customFormat="1" ht="15.75" customHeight="1" x14ac:dyDescent="0.2">
      <c r="A80" s="61" t="s">
        <v>74</v>
      </c>
      <c r="B80" s="62">
        <v>0</v>
      </c>
      <c r="C80" s="62">
        <v>0</v>
      </c>
      <c r="D80" s="62">
        <v>0</v>
      </c>
      <c r="E80" s="62">
        <v>0</v>
      </c>
      <c r="F80" s="62">
        <v>0</v>
      </c>
      <c r="G80" s="62">
        <v>0</v>
      </c>
      <c r="H80" s="62">
        <v>0</v>
      </c>
      <c r="I80" s="62">
        <v>0</v>
      </c>
      <c r="J80" s="62">
        <v>0</v>
      </c>
      <c r="K80" s="62">
        <v>0</v>
      </c>
      <c r="L80" s="62">
        <v>0</v>
      </c>
      <c r="M80" s="62">
        <v>0</v>
      </c>
      <c r="N80" s="62">
        <v>0</v>
      </c>
      <c r="O80" s="62">
        <v>0</v>
      </c>
      <c r="P80" s="62">
        <v>0</v>
      </c>
    </row>
    <row r="81" spans="1:16" s="63" customFormat="1" ht="15.75" customHeight="1" x14ac:dyDescent="0.2">
      <c r="A81" s="64" t="s">
        <v>75</v>
      </c>
      <c r="B81" s="65">
        <v>0</v>
      </c>
      <c r="C81" s="65">
        <v>0</v>
      </c>
      <c r="D81" s="65">
        <v>0</v>
      </c>
      <c r="E81" s="65">
        <v>0</v>
      </c>
      <c r="F81" s="65">
        <v>0</v>
      </c>
      <c r="G81" s="65">
        <v>0</v>
      </c>
      <c r="H81" s="65">
        <v>0</v>
      </c>
      <c r="I81" s="65">
        <v>0</v>
      </c>
      <c r="J81" s="65">
        <v>0</v>
      </c>
      <c r="K81" s="65">
        <v>0</v>
      </c>
      <c r="L81" s="65">
        <v>0</v>
      </c>
      <c r="M81" s="65">
        <v>0</v>
      </c>
      <c r="N81" s="65">
        <v>0</v>
      </c>
      <c r="O81" s="65">
        <v>0</v>
      </c>
      <c r="P81" s="65">
        <v>0</v>
      </c>
    </row>
    <row r="82" spans="1:16" ht="21" customHeight="1" x14ac:dyDescent="0.25">
      <c r="A82" s="9" t="s">
        <v>65</v>
      </c>
      <c r="B82" s="27">
        <f>B51+B35+B25+B15+B9</f>
        <v>311699277</v>
      </c>
      <c r="C82" s="27">
        <f>C51+C35+C25+C15+C9</f>
        <v>341844294.10000002</v>
      </c>
      <c r="D82" s="27">
        <f t="shared" ref="D82:P82" si="9">D51+D35+D25+D15+D9</f>
        <v>19181413.640000001</v>
      </c>
      <c r="E82" s="27">
        <f t="shared" si="9"/>
        <v>19650295.649999999</v>
      </c>
      <c r="F82" s="27">
        <f t="shared" si="9"/>
        <v>23135808.469999999</v>
      </c>
      <c r="G82" s="27">
        <f t="shared" si="9"/>
        <v>32521576.899999999</v>
      </c>
      <c r="H82" s="27">
        <f t="shared" si="9"/>
        <v>19743243.73</v>
      </c>
      <c r="I82" s="27">
        <f t="shared" si="9"/>
        <v>27331415.18</v>
      </c>
      <c r="J82" s="27">
        <f t="shared" si="9"/>
        <v>21207148.729999997</v>
      </c>
      <c r="K82" s="27">
        <f t="shared" si="9"/>
        <v>22865481.84</v>
      </c>
      <c r="L82" s="27">
        <f t="shared" si="9"/>
        <v>21839522.75</v>
      </c>
      <c r="M82" s="27">
        <f t="shared" si="9"/>
        <v>36428303.57</v>
      </c>
      <c r="N82" s="27">
        <f t="shared" si="9"/>
        <v>41728467.640000001</v>
      </c>
      <c r="O82" s="27">
        <f t="shared" si="9"/>
        <v>43323249.170000002</v>
      </c>
      <c r="P82" s="27">
        <f t="shared" si="9"/>
        <v>328955927.26999992</v>
      </c>
    </row>
    <row r="83" spans="1:16" ht="20.25" customHeight="1" x14ac:dyDescent="0.25"/>
    <row r="84" spans="1:16" s="55" customFormat="1" ht="15.75" x14ac:dyDescent="0.25">
      <c r="A84" s="56"/>
      <c r="B84" s="56" t="s">
        <v>101</v>
      </c>
      <c r="F84" s="56" t="s">
        <v>102</v>
      </c>
      <c r="H84" s="57"/>
      <c r="J84" s="58"/>
    </row>
    <row r="85" spans="1:16" s="55" customFormat="1" ht="35.25" customHeight="1" x14ac:dyDescent="0.25">
      <c r="A85" s="59"/>
      <c r="B85" s="59" t="s">
        <v>103</v>
      </c>
      <c r="C85" s="57"/>
      <c r="F85" s="59" t="s">
        <v>103</v>
      </c>
      <c r="H85" s="59"/>
    </row>
    <row r="86" spans="1:16" s="55" customFormat="1" ht="17.25" customHeight="1" x14ac:dyDescent="0.25">
      <c r="A86" s="57"/>
      <c r="B86" s="57" t="s">
        <v>104</v>
      </c>
      <c r="C86" s="57"/>
      <c r="F86" s="57" t="s">
        <v>105</v>
      </c>
      <c r="G86" s="60" t="s">
        <v>112</v>
      </c>
      <c r="H86" s="60"/>
      <c r="I86" s="60"/>
      <c r="J86" s="60"/>
    </row>
    <row r="87" spans="1:16" s="55" customFormat="1" ht="15" customHeight="1" x14ac:dyDescent="0.25">
      <c r="A87" s="56"/>
      <c r="B87" s="56" t="s">
        <v>106</v>
      </c>
      <c r="C87" s="56"/>
      <c r="F87" s="56" t="s">
        <v>107</v>
      </c>
      <c r="H87" s="56"/>
    </row>
    <row r="88" spans="1:16" ht="18.75" x14ac:dyDescent="0.3">
      <c r="D88" s="29"/>
      <c r="E88" s="29"/>
      <c r="F88" s="29"/>
      <c r="H88" s="29"/>
      <c r="I88" s="29"/>
      <c r="J88" s="29"/>
      <c r="K88" s="29"/>
    </row>
    <row r="89" spans="1:16" ht="18.75" x14ac:dyDescent="0.25">
      <c r="B89" s="31"/>
    </row>
  </sheetData>
  <mergeCells count="10">
    <mergeCell ref="G86:J86"/>
    <mergeCell ref="A5:P5"/>
    <mergeCell ref="D6:P6"/>
    <mergeCell ref="A1:P1"/>
    <mergeCell ref="A2:P2"/>
    <mergeCell ref="A6:A7"/>
    <mergeCell ref="B6:B7"/>
    <mergeCell ref="C6:C7"/>
    <mergeCell ref="A3:P3"/>
    <mergeCell ref="A4:P4"/>
  </mergeCells>
  <pageMargins left="0.11811023622047245" right="0.11811023622047245" top="0.39370078740157483" bottom="0.55118110236220474" header="0.31496062992125984" footer="0.31496062992125984"/>
  <pageSetup paperSize="5" scale="70" orientation="landscape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O91"/>
  <sheetViews>
    <sheetView showGridLines="0" topLeftCell="A61" zoomScaleNormal="100" workbookViewId="0">
      <selection activeCell="L83" sqref="L83"/>
    </sheetView>
  </sheetViews>
  <sheetFormatPr defaultColWidth="11.42578125" defaultRowHeight="15" x14ac:dyDescent="0.25"/>
  <cols>
    <col min="1" max="1" width="70.42578125" customWidth="1"/>
    <col min="2" max="2" width="13.28515625" customWidth="1"/>
    <col min="3" max="3" width="14.5703125" customWidth="1"/>
    <col min="4" max="5" width="13.5703125" customWidth="1"/>
    <col min="6" max="6" width="14.140625" customWidth="1"/>
    <col min="7" max="7" width="14.28515625" customWidth="1"/>
    <col min="8" max="8" width="14" customWidth="1"/>
    <col min="9" max="9" width="13.85546875" customWidth="1"/>
    <col min="10" max="10" width="14" customWidth="1"/>
    <col min="11" max="11" width="13.28515625" customWidth="1"/>
    <col min="12" max="12" width="14.5703125" customWidth="1"/>
    <col min="13" max="13" width="14.140625" customWidth="1"/>
    <col min="14" max="14" width="14.5703125" customWidth="1"/>
  </cols>
  <sheetData>
    <row r="2" spans="1:15" ht="28.5" customHeight="1" x14ac:dyDescent="0.25">
      <c r="A2" s="50" t="s">
        <v>110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5" ht="21" customHeight="1" x14ac:dyDescent="0.25">
      <c r="A3" s="52" t="s">
        <v>100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15" ht="15.75" x14ac:dyDescent="0.25">
      <c r="A4" s="45">
        <v>2025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</row>
    <row r="5" spans="1:15" ht="15.75" customHeight="1" x14ac:dyDescent="0.25">
      <c r="A5" s="40" t="s">
        <v>92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1:15" ht="15.75" customHeight="1" x14ac:dyDescent="0.25">
      <c r="A6" s="41" t="s">
        <v>77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</row>
    <row r="8" spans="1:15" ht="42.75" customHeight="1" x14ac:dyDescent="0.25">
      <c r="A8" s="7" t="s">
        <v>66</v>
      </c>
      <c r="B8" s="18" t="s">
        <v>79</v>
      </c>
      <c r="C8" s="18" t="s">
        <v>80</v>
      </c>
      <c r="D8" s="18" t="s">
        <v>81</v>
      </c>
      <c r="E8" s="18" t="s">
        <v>82</v>
      </c>
      <c r="F8" s="19" t="s">
        <v>83</v>
      </c>
      <c r="G8" s="18" t="s">
        <v>84</v>
      </c>
      <c r="H8" s="19" t="s">
        <v>85</v>
      </c>
      <c r="I8" s="18" t="s">
        <v>86</v>
      </c>
      <c r="J8" s="34" t="s">
        <v>87</v>
      </c>
      <c r="K8" s="34" t="s">
        <v>88</v>
      </c>
      <c r="L8" s="34" t="s">
        <v>89</v>
      </c>
      <c r="M8" s="34" t="s">
        <v>90</v>
      </c>
      <c r="N8" s="18" t="s">
        <v>78</v>
      </c>
    </row>
    <row r="9" spans="1:15" x14ac:dyDescent="0.25">
      <c r="A9" s="1" t="s">
        <v>0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5" x14ac:dyDescent="0.25">
      <c r="A10" s="3" t="s">
        <v>1</v>
      </c>
      <c r="B10" s="25">
        <f>B11+B12+B15</f>
        <v>14442586.75</v>
      </c>
      <c r="C10" s="25">
        <f t="shared" ref="C10:M10" si="0">C11+C12+C15</f>
        <v>14350642.969999999</v>
      </c>
      <c r="D10" s="25">
        <f t="shared" si="0"/>
        <v>16190801.01</v>
      </c>
      <c r="E10" s="25">
        <f t="shared" si="0"/>
        <v>27027152.419999998</v>
      </c>
      <c r="F10" s="25">
        <f t="shared" si="0"/>
        <v>14161002.27</v>
      </c>
      <c r="G10" s="25">
        <f t="shared" si="0"/>
        <v>14633628.66</v>
      </c>
      <c r="H10" s="25">
        <f t="shared" si="0"/>
        <v>14487741.35</v>
      </c>
      <c r="I10" s="25">
        <f>I11+I12+I15</f>
        <v>14606610.34</v>
      </c>
      <c r="J10" s="25">
        <f t="shared" si="0"/>
        <v>14413861.949999999</v>
      </c>
      <c r="K10" s="25">
        <f t="shared" si="0"/>
        <v>26646651.669999998</v>
      </c>
      <c r="L10" s="25">
        <f t="shared" si="0"/>
        <v>26615943.260000002</v>
      </c>
      <c r="M10" s="25">
        <f t="shared" si="0"/>
        <v>26135596.670000002</v>
      </c>
      <c r="N10" s="25">
        <f>SUM(B10:M10)</f>
        <v>223712219.31999993</v>
      </c>
    </row>
    <row r="11" spans="1:15" ht="17.25" customHeight="1" x14ac:dyDescent="0.25">
      <c r="A11" s="5" t="s">
        <v>2</v>
      </c>
      <c r="B11" s="24">
        <v>12285814.609999999</v>
      </c>
      <c r="C11" s="24">
        <v>12206064.609999999</v>
      </c>
      <c r="D11" s="24">
        <f>12083464.61+29333.33+1622250+301435.18</f>
        <v>14036483.119999999</v>
      </c>
      <c r="E11" s="24">
        <v>24873991.829999998</v>
      </c>
      <c r="F11" s="24">
        <v>12017703.73</v>
      </c>
      <c r="G11" s="24">
        <v>12484820.4</v>
      </c>
      <c r="H11" s="24">
        <v>12323850.119999999</v>
      </c>
      <c r="I11" s="24">
        <v>12426664.609999999</v>
      </c>
      <c r="J11" s="24">
        <v>12300509.1</v>
      </c>
      <c r="K11" s="24">
        <v>24519328.829999998</v>
      </c>
      <c r="L11" s="24">
        <v>24565564.300000001</v>
      </c>
      <c r="M11" s="24">
        <v>24024937.16</v>
      </c>
      <c r="N11" s="24">
        <f>SUM(B11:M11)</f>
        <v>198065732.41999999</v>
      </c>
    </row>
    <row r="12" spans="1:15" ht="17.25" customHeight="1" x14ac:dyDescent="0.25">
      <c r="A12" s="5" t="s">
        <v>3</v>
      </c>
      <c r="B12" s="24">
        <v>309500</v>
      </c>
      <c r="C12" s="24">
        <v>309500</v>
      </c>
      <c r="D12" s="24">
        <v>333500</v>
      </c>
      <c r="E12" s="24">
        <v>333500</v>
      </c>
      <c r="F12" s="24">
        <v>333500</v>
      </c>
      <c r="G12" s="24">
        <v>333500</v>
      </c>
      <c r="H12" s="24">
        <v>333500</v>
      </c>
      <c r="I12" s="24">
        <v>333500</v>
      </c>
      <c r="J12" s="24">
        <v>333500</v>
      </c>
      <c r="K12" s="24">
        <v>333500</v>
      </c>
      <c r="L12" s="24">
        <v>317143</v>
      </c>
      <c r="M12" s="24">
        <v>317143</v>
      </c>
      <c r="N12" s="24">
        <f>SUM(B12:M12)</f>
        <v>3921286</v>
      </c>
    </row>
    <row r="13" spans="1:15" ht="17.25" customHeight="1" x14ac:dyDescent="0.25">
      <c r="A13" s="5" t="s">
        <v>4</v>
      </c>
      <c r="B13" s="24">
        <v>0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17"/>
    </row>
    <row r="14" spans="1:15" ht="17.25" customHeight="1" x14ac:dyDescent="0.25">
      <c r="A14" s="5" t="s">
        <v>5</v>
      </c>
      <c r="B14" s="24">
        <v>0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</row>
    <row r="15" spans="1:15" ht="17.25" customHeight="1" x14ac:dyDescent="0.25">
      <c r="A15" s="5" t="s">
        <v>6</v>
      </c>
      <c r="B15" s="24">
        <v>1847272.14</v>
      </c>
      <c r="C15" s="24">
        <v>1835078.36</v>
      </c>
      <c r="D15" s="24">
        <f>851893.53+860008.65+108915.71</f>
        <v>1820817.8900000001</v>
      </c>
      <c r="E15" s="24">
        <v>1819660.59</v>
      </c>
      <c r="F15" s="24">
        <v>1809798.54</v>
      </c>
      <c r="G15" s="24">
        <v>1815308.26</v>
      </c>
      <c r="H15" s="24">
        <v>1830391.23</v>
      </c>
      <c r="I15" s="24">
        <v>1846445.73</v>
      </c>
      <c r="J15" s="24">
        <v>1779852.85</v>
      </c>
      <c r="K15" s="24">
        <v>1793822.84</v>
      </c>
      <c r="L15" s="24">
        <v>1733235.96</v>
      </c>
      <c r="M15" s="24">
        <v>1793516.51</v>
      </c>
      <c r="N15" s="24">
        <f>SUM(B15:M15)</f>
        <v>21725200.900000002</v>
      </c>
    </row>
    <row r="16" spans="1:15" ht="17.25" customHeight="1" x14ac:dyDescent="0.25">
      <c r="A16" s="3" t="s">
        <v>7</v>
      </c>
      <c r="B16" s="25">
        <f t="shared" ref="B16:I16" si="1">B17+B18+B19+B20+B21+B22+B23+B24+B25</f>
        <v>4013686.89</v>
      </c>
      <c r="C16" s="25">
        <f t="shared" si="1"/>
        <v>4564432.68</v>
      </c>
      <c r="D16" s="25">
        <f t="shared" si="1"/>
        <v>4875188.9699999988</v>
      </c>
      <c r="E16" s="25">
        <f>E17+E18+E19+E20+E21+E22+E23+E24+E25</f>
        <v>4934694.6399999997</v>
      </c>
      <c r="F16" s="25">
        <f t="shared" si="1"/>
        <v>4598395.13</v>
      </c>
      <c r="G16" s="25">
        <f>G17+G18+G19+G20+G21+G22+G23+G24+G25</f>
        <v>10958809.609999999</v>
      </c>
      <c r="H16" s="25">
        <f t="shared" si="1"/>
        <v>5899027.2999999989</v>
      </c>
      <c r="I16" s="25">
        <f t="shared" si="1"/>
        <v>7031406.9400000004</v>
      </c>
      <c r="J16" s="25">
        <f>J17+J18+J19+J20+J21+J22+J23+J24+J25</f>
        <v>6198859.5</v>
      </c>
      <c r="K16" s="25">
        <f t="shared" ref="K16" si="2">K17+K18+K19+K20+K21+K22+K23+K24</f>
        <v>8760078.4000000004</v>
      </c>
      <c r="L16" s="25">
        <f>L17+L18+L19+L20+L21+L22+L23+L24+L25</f>
        <v>14279814.480000002</v>
      </c>
      <c r="M16" s="25">
        <f>M17+M18+M19+M20+M21+M22+M23+M24+M25</f>
        <v>14424407.59</v>
      </c>
      <c r="N16" s="25">
        <f>N17+N18+N19+N20+N21+N22+N23+N24+N25</f>
        <v>90757298.440000013</v>
      </c>
    </row>
    <row r="17" spans="1:14" ht="17.25" customHeight="1" x14ac:dyDescent="0.25">
      <c r="A17" s="5" t="s">
        <v>8</v>
      </c>
      <c r="B17" s="24">
        <v>2698575.53</v>
      </c>
      <c r="C17" s="24">
        <v>3129735.17</v>
      </c>
      <c r="D17" s="24">
        <f>440808.48+271168.95+920792.42+643488.19+3874+2500</f>
        <v>2282632.04</v>
      </c>
      <c r="E17" s="24">
        <v>2152214.56</v>
      </c>
      <c r="F17" s="24">
        <v>2135040.2400000002</v>
      </c>
      <c r="G17" s="24">
        <v>2180554.83</v>
      </c>
      <c r="H17" s="24">
        <v>2238851.15</v>
      </c>
      <c r="I17" s="24">
        <v>2378982.2200000002</v>
      </c>
      <c r="J17" s="24">
        <v>2211523.48</v>
      </c>
      <c r="K17" s="24">
        <v>2119783.59</v>
      </c>
      <c r="L17" s="24">
        <v>2104469.83</v>
      </c>
      <c r="M17" s="24">
        <v>1175375.42</v>
      </c>
      <c r="N17" s="24">
        <f>SUM(B17:M17)</f>
        <v>26807738.060000002</v>
      </c>
    </row>
    <row r="18" spans="1:14" ht="17.25" customHeight="1" x14ac:dyDescent="0.25">
      <c r="A18" s="5" t="s">
        <v>9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1500</v>
      </c>
      <c r="H18" s="24">
        <v>0</v>
      </c>
      <c r="I18" s="24">
        <v>16940</v>
      </c>
      <c r="J18" s="24">
        <v>14876.26</v>
      </c>
      <c r="K18" s="24">
        <v>0</v>
      </c>
      <c r="L18" s="24">
        <v>0</v>
      </c>
      <c r="M18" s="24">
        <v>1350</v>
      </c>
      <c r="N18" s="24">
        <f t="shared" ref="N18:N23" si="3">SUM(B18:M18)</f>
        <v>34666.26</v>
      </c>
    </row>
    <row r="19" spans="1:14" ht="17.25" customHeight="1" x14ac:dyDescent="0.25">
      <c r="A19" s="5" t="s">
        <v>10</v>
      </c>
      <c r="B19" s="24">
        <v>0</v>
      </c>
      <c r="C19" s="24">
        <v>119000</v>
      </c>
      <c r="D19" s="24">
        <v>85400</v>
      </c>
      <c r="E19" s="24">
        <v>167517.5</v>
      </c>
      <c r="F19" s="24">
        <v>76450</v>
      </c>
      <c r="G19" s="24">
        <v>93880</v>
      </c>
      <c r="H19" s="24">
        <v>341767.5</v>
      </c>
      <c r="I19" s="24">
        <v>172490</v>
      </c>
      <c r="J19" s="24">
        <v>501507.5</v>
      </c>
      <c r="K19" s="24">
        <v>2952235.51</v>
      </c>
      <c r="L19" s="24">
        <v>5581660</v>
      </c>
      <c r="M19" s="24">
        <v>814636.72</v>
      </c>
      <c r="N19" s="24">
        <f t="shared" si="3"/>
        <v>10906544.73</v>
      </c>
    </row>
    <row r="20" spans="1:14" ht="17.25" customHeight="1" x14ac:dyDescent="0.25">
      <c r="A20" s="5" t="s">
        <v>11</v>
      </c>
      <c r="B20" s="24">
        <v>0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139000</v>
      </c>
      <c r="J20" s="24">
        <v>85010.240000000005</v>
      </c>
      <c r="K20" s="24">
        <v>0</v>
      </c>
      <c r="L20" s="24">
        <v>0</v>
      </c>
      <c r="M20" s="24">
        <v>224398.17</v>
      </c>
      <c r="N20" s="24">
        <f t="shared" si="3"/>
        <v>448408.41000000003</v>
      </c>
    </row>
    <row r="21" spans="1:14" ht="17.25" customHeight="1" x14ac:dyDescent="0.25">
      <c r="A21" s="5" t="s">
        <v>12</v>
      </c>
      <c r="B21" s="24">
        <v>0</v>
      </c>
      <c r="C21" s="24">
        <v>84488</v>
      </c>
      <c r="D21" s="24">
        <f>147618+207383.48</f>
        <v>355001.48</v>
      </c>
      <c r="E21" s="24">
        <f>65955.93+81184</f>
        <v>147139.93</v>
      </c>
      <c r="F21" s="24">
        <v>222971.8</v>
      </c>
      <c r="G21" s="24">
        <v>6930233.3300000001</v>
      </c>
      <c r="H21" s="24">
        <v>1543375.62</v>
      </c>
      <c r="I21" s="24">
        <v>2714921.83</v>
      </c>
      <c r="J21" s="24">
        <v>1254532.27</v>
      </c>
      <c r="K21" s="24">
        <v>2101477.34</v>
      </c>
      <c r="L21" s="24">
        <v>2900278</v>
      </c>
      <c r="M21" s="24">
        <v>4589882.87</v>
      </c>
      <c r="N21" s="24">
        <f t="shared" si="3"/>
        <v>22844302.470000003</v>
      </c>
    </row>
    <row r="22" spans="1:14" ht="17.25" customHeight="1" x14ac:dyDescent="0.25">
      <c r="A22" s="5" t="s">
        <v>13</v>
      </c>
      <c r="B22" s="24">
        <v>1194917.68</v>
      </c>
      <c r="C22" s="24">
        <v>880511.45</v>
      </c>
      <c r="D22" s="24">
        <v>1565479</v>
      </c>
      <c r="E22" s="24">
        <v>1525598.76</v>
      </c>
      <c r="F22" s="24">
        <v>1656841.75</v>
      </c>
      <c r="G22" s="24">
        <v>1464175.53</v>
      </c>
      <c r="H22" s="24">
        <v>850726.87</v>
      </c>
      <c r="I22" s="24">
        <v>1175041.5</v>
      </c>
      <c r="J22" s="24">
        <v>1231530.01</v>
      </c>
      <c r="K22" s="24">
        <v>1398967.97</v>
      </c>
      <c r="L22" s="24">
        <v>1034078.8</v>
      </c>
      <c r="M22" s="24">
        <v>1217149.33</v>
      </c>
      <c r="N22" s="24">
        <f t="shared" si="3"/>
        <v>15195018.65</v>
      </c>
    </row>
    <row r="23" spans="1:14" ht="27" customHeight="1" x14ac:dyDescent="0.25">
      <c r="A23" s="28" t="s">
        <v>14</v>
      </c>
      <c r="B23" s="24">
        <v>42244</v>
      </c>
      <c r="C23" s="24">
        <v>86199</v>
      </c>
      <c r="D23" s="24">
        <f>88500+319732.8+41300</f>
        <v>449532.8</v>
      </c>
      <c r="E23" s="24">
        <v>566400</v>
      </c>
      <c r="F23" s="24">
        <v>7620.8</v>
      </c>
      <c r="G23" s="24">
        <v>0</v>
      </c>
      <c r="H23" s="24">
        <v>149989.79999999999</v>
      </c>
      <c r="I23" s="24">
        <v>126800</v>
      </c>
      <c r="J23" s="24">
        <v>601564.30000000005</v>
      </c>
      <c r="K23" s="24">
        <v>161364</v>
      </c>
      <c r="L23" s="24">
        <v>64109.4</v>
      </c>
      <c r="M23" s="24">
        <v>1768487.75</v>
      </c>
      <c r="N23" s="24">
        <f t="shared" si="3"/>
        <v>4024311.85</v>
      </c>
    </row>
    <row r="24" spans="1:14" ht="17.25" customHeight="1" x14ac:dyDescent="0.25">
      <c r="A24" s="5" t="s">
        <v>15</v>
      </c>
      <c r="B24" s="24">
        <v>0</v>
      </c>
      <c r="C24" s="24">
        <v>57216.05</v>
      </c>
      <c r="D24" s="24">
        <f>1200.01+16500</f>
        <v>17700.009999999998</v>
      </c>
      <c r="E24" s="24">
        <v>54819.51</v>
      </c>
      <c r="F24" s="24">
        <v>179116</v>
      </c>
      <c r="G24" s="24">
        <v>73000</v>
      </c>
      <c r="H24" s="24">
        <v>454440.14</v>
      </c>
      <c r="I24" s="24">
        <v>60022</v>
      </c>
      <c r="J24" s="24">
        <v>86836.32</v>
      </c>
      <c r="K24" s="24">
        <v>26249.99</v>
      </c>
      <c r="L24" s="24">
        <v>2312803.98</v>
      </c>
      <c r="M24" s="24">
        <v>2830394.28</v>
      </c>
      <c r="N24" s="24">
        <f>SUM(B24:M24)</f>
        <v>6152598.2799999993</v>
      </c>
    </row>
    <row r="25" spans="1:14" ht="17.25" customHeight="1" x14ac:dyDescent="0.25">
      <c r="A25" s="5" t="s">
        <v>16</v>
      </c>
      <c r="B25" s="24">
        <v>77949.679999999993</v>
      </c>
      <c r="C25" s="24">
        <v>207283.01</v>
      </c>
      <c r="D25" s="24">
        <v>119443.64</v>
      </c>
      <c r="E25" s="24">
        <v>321004.38</v>
      </c>
      <c r="F25" s="24">
        <v>320354.53999999998</v>
      </c>
      <c r="G25" s="24">
        <v>215465.92</v>
      </c>
      <c r="H25" s="24">
        <v>319876.21999999997</v>
      </c>
      <c r="I25" s="24">
        <v>247209.39</v>
      </c>
      <c r="J25" s="24">
        <v>211479.12</v>
      </c>
      <c r="K25" s="24">
        <v>218496.31</v>
      </c>
      <c r="L25" s="24">
        <v>282414.46999999997</v>
      </c>
      <c r="M25" s="24">
        <v>1802733.05</v>
      </c>
      <c r="N25" s="24">
        <f>SUM(B25:M25)</f>
        <v>4343709.7299999995</v>
      </c>
    </row>
    <row r="26" spans="1:14" ht="17.25" customHeight="1" x14ac:dyDescent="0.25">
      <c r="A26" s="3" t="s">
        <v>17</v>
      </c>
      <c r="B26" s="25">
        <f>B27+B28+B29+B30+B31+B32+B33</f>
        <v>725140</v>
      </c>
      <c r="C26" s="25">
        <f>C27+C28+C29+C30+C31+C32+C33+C35</f>
        <v>735220</v>
      </c>
      <c r="D26" s="25">
        <f>D27+D28+D29+D30+D31+D32+D33+D35</f>
        <v>1203322.1499999999</v>
      </c>
      <c r="E26" s="25">
        <f>E27+E28+E29+E30+E31+E32+E35+E33</f>
        <v>559729.84</v>
      </c>
      <c r="F26" s="25">
        <f t="shared" ref="F26:N26" si="4">F27+F28+F29+F30+F31+F32+F33+F35</f>
        <v>959125.33000000007</v>
      </c>
      <c r="G26" s="25">
        <f t="shared" si="4"/>
        <v>1660734.6199999999</v>
      </c>
      <c r="H26" s="25">
        <f t="shared" si="4"/>
        <v>820380.08000000007</v>
      </c>
      <c r="I26" s="25">
        <f t="shared" si="4"/>
        <v>1108833.02</v>
      </c>
      <c r="J26" s="25">
        <f t="shared" si="4"/>
        <v>1226801.3</v>
      </c>
      <c r="K26" s="25">
        <f t="shared" si="4"/>
        <v>625733.68999999994</v>
      </c>
      <c r="L26" s="25">
        <f t="shared" si="4"/>
        <v>738409</v>
      </c>
      <c r="M26" s="25">
        <f t="shared" si="4"/>
        <v>2657870.91</v>
      </c>
      <c r="N26" s="25">
        <f t="shared" si="4"/>
        <v>13021299.940000001</v>
      </c>
    </row>
    <row r="27" spans="1:14" ht="17.25" customHeight="1" x14ac:dyDescent="0.25">
      <c r="A27" s="5" t="s">
        <v>18</v>
      </c>
      <c r="B27" s="24">
        <v>2640</v>
      </c>
      <c r="C27" s="24">
        <v>12720</v>
      </c>
      <c r="D27" s="24">
        <v>31770.05</v>
      </c>
      <c r="E27" s="24">
        <v>20384.5</v>
      </c>
      <c r="F27" s="24">
        <v>18369.990000000002</v>
      </c>
      <c r="G27" s="24">
        <v>193898.2</v>
      </c>
      <c r="H27" s="24">
        <v>4740</v>
      </c>
      <c r="I27" s="24">
        <v>28880</v>
      </c>
      <c r="J27" s="24">
        <v>191111.62</v>
      </c>
      <c r="K27" s="24">
        <v>9840</v>
      </c>
      <c r="L27" s="24">
        <v>9780</v>
      </c>
      <c r="M27" s="24">
        <v>217877.21</v>
      </c>
      <c r="N27" s="24">
        <f t="shared" ref="N27:N37" si="5">SUM(B27:M27)</f>
        <v>742011.57</v>
      </c>
    </row>
    <row r="28" spans="1:14" ht="17.25" customHeight="1" x14ac:dyDescent="0.25">
      <c r="A28" s="5" t="s">
        <v>19</v>
      </c>
      <c r="B28" s="24">
        <v>0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112930.58</v>
      </c>
      <c r="I28" s="24">
        <v>0</v>
      </c>
      <c r="J28" s="24">
        <v>777.9</v>
      </c>
      <c r="K28" s="24">
        <v>0</v>
      </c>
      <c r="L28" s="24">
        <v>173401</v>
      </c>
      <c r="M28" s="24">
        <v>0</v>
      </c>
      <c r="N28" s="24">
        <f t="shared" si="5"/>
        <v>287109.48</v>
      </c>
    </row>
    <row r="29" spans="1:14" ht="17.25" customHeight="1" x14ac:dyDescent="0.25">
      <c r="A29" s="5" t="s">
        <v>20</v>
      </c>
      <c r="B29" s="24">
        <v>0</v>
      </c>
      <c r="C29" s="24">
        <v>0</v>
      </c>
      <c r="D29" s="24">
        <v>31246.400000000001</v>
      </c>
      <c r="E29" s="24">
        <v>0</v>
      </c>
      <c r="F29" s="24">
        <v>19352</v>
      </c>
      <c r="G29" s="24">
        <v>52038</v>
      </c>
      <c r="H29" s="24">
        <v>11475</v>
      </c>
      <c r="I29" s="24">
        <v>3100</v>
      </c>
      <c r="J29" s="24">
        <v>252157.83</v>
      </c>
      <c r="K29" s="24">
        <v>19617.5</v>
      </c>
      <c r="L29" s="24">
        <v>29500</v>
      </c>
      <c r="M29" s="24">
        <v>118225.84</v>
      </c>
      <c r="N29" s="24">
        <f t="shared" si="5"/>
        <v>536712.56999999995</v>
      </c>
    </row>
    <row r="30" spans="1:14" ht="17.25" customHeight="1" x14ac:dyDescent="0.25">
      <c r="A30" s="5" t="s">
        <v>21</v>
      </c>
      <c r="B30" s="24">
        <v>0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f t="shared" si="5"/>
        <v>0</v>
      </c>
    </row>
    <row r="31" spans="1:14" ht="17.25" customHeight="1" x14ac:dyDescent="0.25">
      <c r="A31" s="5" t="s">
        <v>22</v>
      </c>
      <c r="B31" s="24">
        <v>0</v>
      </c>
      <c r="C31" s="24">
        <v>0</v>
      </c>
      <c r="D31" s="24">
        <v>0</v>
      </c>
      <c r="E31" s="24">
        <v>0</v>
      </c>
      <c r="F31" s="24">
        <v>7168.5</v>
      </c>
      <c r="G31" s="24">
        <v>140618.23999999999</v>
      </c>
      <c r="H31" s="24">
        <v>0</v>
      </c>
      <c r="I31" s="24">
        <v>0</v>
      </c>
      <c r="J31" s="24">
        <v>14750.72</v>
      </c>
      <c r="K31" s="24">
        <v>0</v>
      </c>
      <c r="L31" s="24">
        <v>0</v>
      </c>
      <c r="M31" s="24">
        <v>6830.39</v>
      </c>
      <c r="N31" s="24">
        <f t="shared" si="5"/>
        <v>169367.85</v>
      </c>
    </row>
    <row r="32" spans="1:14" ht="17.25" customHeight="1" x14ac:dyDescent="0.25">
      <c r="A32" s="5" t="s">
        <v>23</v>
      </c>
      <c r="B32" s="24">
        <v>0</v>
      </c>
      <c r="C32" s="24">
        <v>0</v>
      </c>
      <c r="D32" s="24">
        <f>662.22+2561.21</f>
        <v>3223.4300000000003</v>
      </c>
      <c r="E32" s="24">
        <v>324.97000000000003</v>
      </c>
      <c r="F32" s="24">
        <v>4405.29</v>
      </c>
      <c r="G32" s="24">
        <v>11303.25</v>
      </c>
      <c r="H32" s="24">
        <v>111650</v>
      </c>
      <c r="I32" s="24">
        <v>4036.78</v>
      </c>
      <c r="J32" s="24">
        <v>30719.26</v>
      </c>
      <c r="K32" s="24">
        <v>1534</v>
      </c>
      <c r="L32" s="24">
        <v>0</v>
      </c>
      <c r="M32" s="24">
        <v>11295.45</v>
      </c>
      <c r="N32" s="24">
        <f t="shared" si="5"/>
        <v>178492.43000000002</v>
      </c>
    </row>
    <row r="33" spans="1:14" ht="17.25" customHeight="1" x14ac:dyDescent="0.25">
      <c r="A33" s="5" t="s">
        <v>24</v>
      </c>
      <c r="B33" s="24">
        <v>722500</v>
      </c>
      <c r="C33" s="24">
        <v>722500</v>
      </c>
      <c r="D33" s="24">
        <f>1015500</f>
        <v>1015500</v>
      </c>
      <c r="E33" s="24">
        <v>516862.32</v>
      </c>
      <c r="F33" s="24">
        <v>673924.61</v>
      </c>
      <c r="G33" s="24">
        <v>1015975.24</v>
      </c>
      <c r="H33" s="24">
        <v>512000</v>
      </c>
      <c r="I33" s="24">
        <v>913515.72</v>
      </c>
      <c r="J33" s="24">
        <v>486175.53</v>
      </c>
      <c r="K33" s="24">
        <v>484500</v>
      </c>
      <c r="L33" s="24">
        <v>479000</v>
      </c>
      <c r="M33" s="24">
        <v>2000241.73</v>
      </c>
      <c r="N33" s="24">
        <f t="shared" si="5"/>
        <v>9542695.1500000004</v>
      </c>
    </row>
    <row r="34" spans="1:14" ht="17.25" customHeight="1" x14ac:dyDescent="0.25">
      <c r="A34" s="5" t="s">
        <v>25</v>
      </c>
      <c r="B34" s="24">
        <v>0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24">
        <v>0</v>
      </c>
      <c r="N34" s="24">
        <v>0</v>
      </c>
    </row>
    <row r="35" spans="1:14" ht="17.25" customHeight="1" x14ac:dyDescent="0.25">
      <c r="A35" s="5" t="s">
        <v>26</v>
      </c>
      <c r="B35" s="24">
        <v>0</v>
      </c>
      <c r="C35" s="24">
        <v>0</v>
      </c>
      <c r="D35" s="24">
        <f>38958.76+15538.62+14062.66+45572.3+7449.93</f>
        <v>121582.27000000002</v>
      </c>
      <c r="E35" s="24">
        <v>22158.05</v>
      </c>
      <c r="F35" s="24">
        <v>235904.94</v>
      </c>
      <c r="G35" s="24">
        <v>246901.69</v>
      </c>
      <c r="H35" s="24">
        <v>67584.5</v>
      </c>
      <c r="I35" s="24">
        <v>159300.51999999999</v>
      </c>
      <c r="J35" s="24">
        <v>251108.44</v>
      </c>
      <c r="K35" s="24">
        <v>110242.19</v>
      </c>
      <c r="L35" s="24">
        <v>46728</v>
      </c>
      <c r="M35" s="24">
        <v>303400.28999999998</v>
      </c>
      <c r="N35" s="24">
        <f t="shared" si="5"/>
        <v>1564910.89</v>
      </c>
    </row>
    <row r="36" spans="1:14" ht="17.25" customHeight="1" x14ac:dyDescent="0.25">
      <c r="A36" s="3" t="s">
        <v>27</v>
      </c>
      <c r="B36" s="25">
        <f t="shared" ref="B36:N36" si="6">B37+B38+B39+B40+B41+B42</f>
        <v>0</v>
      </c>
      <c r="C36" s="25">
        <f t="shared" si="6"/>
        <v>0</v>
      </c>
      <c r="D36" s="25">
        <f t="shared" si="6"/>
        <v>24000</v>
      </c>
      <c r="E36" s="25">
        <f t="shared" si="6"/>
        <v>0</v>
      </c>
      <c r="F36" s="25">
        <f t="shared" si="6"/>
        <v>0</v>
      </c>
      <c r="G36" s="25">
        <f t="shared" si="6"/>
        <v>0</v>
      </c>
      <c r="H36" s="25">
        <f t="shared" si="6"/>
        <v>0</v>
      </c>
      <c r="I36" s="25">
        <f t="shared" si="6"/>
        <v>0</v>
      </c>
      <c r="J36" s="25">
        <f t="shared" si="6"/>
        <v>0</v>
      </c>
      <c r="K36" s="25">
        <f t="shared" si="6"/>
        <v>0</v>
      </c>
      <c r="L36" s="25">
        <f t="shared" si="6"/>
        <v>0</v>
      </c>
      <c r="M36" s="25">
        <f t="shared" si="6"/>
        <v>0</v>
      </c>
      <c r="N36" s="25">
        <f t="shared" si="6"/>
        <v>24000</v>
      </c>
    </row>
    <row r="37" spans="1:14" ht="17.25" customHeight="1" x14ac:dyDescent="0.25">
      <c r="A37" s="5" t="s">
        <v>28</v>
      </c>
      <c r="B37" s="24">
        <v>0</v>
      </c>
      <c r="C37" s="24">
        <v>0</v>
      </c>
      <c r="D37" s="24">
        <v>24000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24">
        <v>0</v>
      </c>
      <c r="N37" s="24">
        <f t="shared" si="5"/>
        <v>24000</v>
      </c>
    </row>
    <row r="38" spans="1:14" ht="17.25" customHeight="1" x14ac:dyDescent="0.25">
      <c r="A38" s="5" t="s">
        <v>29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</row>
    <row r="39" spans="1:14" ht="17.25" customHeight="1" x14ac:dyDescent="0.25">
      <c r="A39" s="5" t="s">
        <v>30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24">
        <v>0</v>
      </c>
      <c r="N39" s="24">
        <v>0</v>
      </c>
    </row>
    <row r="40" spans="1:14" ht="17.25" customHeight="1" x14ac:dyDescent="0.25">
      <c r="A40" s="5" t="s">
        <v>31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</row>
    <row r="41" spans="1:14" ht="17.25" customHeight="1" x14ac:dyDescent="0.25">
      <c r="A41" s="5" t="s">
        <v>32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</row>
    <row r="42" spans="1:14" ht="17.25" customHeight="1" x14ac:dyDescent="0.25">
      <c r="A42" s="5" t="s">
        <v>33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</row>
    <row r="43" spans="1:14" ht="17.25" customHeight="1" x14ac:dyDescent="0.25">
      <c r="A43" s="5" t="s">
        <v>34</v>
      </c>
      <c r="B43" s="24">
        <v>0</v>
      </c>
      <c r="C43" s="24">
        <v>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</row>
    <row r="44" spans="1:14" ht="17.25" customHeight="1" x14ac:dyDescent="0.25">
      <c r="A44" s="5" t="s">
        <v>35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</row>
    <row r="45" spans="1:14" ht="17.25" customHeight="1" x14ac:dyDescent="0.25">
      <c r="A45" s="3" t="s">
        <v>36</v>
      </c>
      <c r="B45" s="25">
        <f t="shared" ref="B45:N45" si="7">B46</f>
        <v>0</v>
      </c>
      <c r="C45" s="25">
        <f t="shared" si="7"/>
        <v>0</v>
      </c>
      <c r="D45" s="25">
        <f t="shared" si="7"/>
        <v>0</v>
      </c>
      <c r="E45" s="25">
        <f t="shared" si="7"/>
        <v>0</v>
      </c>
      <c r="F45" s="25">
        <f t="shared" si="7"/>
        <v>0</v>
      </c>
      <c r="G45" s="25">
        <f t="shared" si="7"/>
        <v>0</v>
      </c>
      <c r="H45" s="25">
        <f t="shared" si="7"/>
        <v>0</v>
      </c>
      <c r="I45" s="25">
        <f t="shared" si="7"/>
        <v>0</v>
      </c>
      <c r="J45" s="25">
        <f t="shared" si="7"/>
        <v>0</v>
      </c>
      <c r="K45" s="25">
        <f t="shared" si="7"/>
        <v>0</v>
      </c>
      <c r="L45" s="25">
        <f t="shared" si="7"/>
        <v>0</v>
      </c>
      <c r="M45" s="25">
        <f t="shared" si="7"/>
        <v>0</v>
      </c>
      <c r="N45" s="25">
        <f t="shared" si="7"/>
        <v>0</v>
      </c>
    </row>
    <row r="46" spans="1:14" ht="17.25" customHeight="1" x14ac:dyDescent="0.25">
      <c r="A46" s="5" t="s">
        <v>37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</row>
    <row r="47" spans="1:14" ht="17.25" customHeight="1" x14ac:dyDescent="0.25">
      <c r="A47" s="5" t="s">
        <v>38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</row>
    <row r="48" spans="1:14" ht="17.25" customHeight="1" x14ac:dyDescent="0.25">
      <c r="A48" s="5" t="s">
        <v>39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</row>
    <row r="49" spans="1:14" ht="17.25" customHeight="1" x14ac:dyDescent="0.25">
      <c r="A49" s="5" t="s">
        <v>40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</row>
    <row r="50" spans="1:14" ht="17.25" customHeight="1" x14ac:dyDescent="0.25">
      <c r="A50" s="5" t="s">
        <v>41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</row>
    <row r="51" spans="1:14" ht="17.25" customHeight="1" x14ac:dyDescent="0.25">
      <c r="A51" s="5" t="s">
        <v>42</v>
      </c>
      <c r="B51" s="24">
        <v>0</v>
      </c>
      <c r="C51" s="24">
        <v>0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24">
        <v>0</v>
      </c>
      <c r="N51" s="24">
        <v>0</v>
      </c>
    </row>
    <row r="52" spans="1:14" ht="17.25" customHeight="1" x14ac:dyDescent="0.25">
      <c r="A52" s="3" t="s">
        <v>43</v>
      </c>
      <c r="B52" s="25">
        <f>B53</f>
        <v>0</v>
      </c>
      <c r="C52" s="25">
        <f>C53</f>
        <v>0</v>
      </c>
      <c r="D52" s="25">
        <f>D53+D60</f>
        <v>842496.34</v>
      </c>
      <c r="E52" s="25">
        <f>E53+E57+E60</f>
        <v>0</v>
      </c>
      <c r="F52" s="25">
        <f>F54+F53</f>
        <v>24721</v>
      </c>
      <c r="G52" s="25">
        <f>G54+G53+G56+G57</f>
        <v>78242.290000000008</v>
      </c>
      <c r="H52" s="25">
        <f>H53+H57</f>
        <v>0</v>
      </c>
      <c r="I52" s="25">
        <f>I53+I57</f>
        <v>118631.54</v>
      </c>
      <c r="J52" s="25">
        <f>J53+J54</f>
        <v>0</v>
      </c>
      <c r="K52" s="25">
        <f>K53</f>
        <v>177343.5</v>
      </c>
      <c r="L52" s="25">
        <f>L53+L57</f>
        <v>94300.9</v>
      </c>
      <c r="M52" s="25">
        <f>M53+M54+M57</f>
        <v>105374</v>
      </c>
      <c r="N52" s="25">
        <f t="shared" ref="N52:N57" si="8">SUM(B52:M52)</f>
        <v>1441109.5699999998</v>
      </c>
    </row>
    <row r="53" spans="1:14" ht="17.25" customHeight="1" x14ac:dyDescent="0.25">
      <c r="A53" s="5" t="s">
        <v>44</v>
      </c>
      <c r="B53" s="24">
        <v>0</v>
      </c>
      <c r="C53" s="24">
        <v>0</v>
      </c>
      <c r="D53" s="24">
        <v>802496.34</v>
      </c>
      <c r="E53" s="24">
        <v>0</v>
      </c>
      <c r="F53" s="24">
        <v>24721</v>
      </c>
      <c r="G53" s="24">
        <v>76934.3</v>
      </c>
      <c r="H53" s="24">
        <v>0</v>
      </c>
      <c r="I53" s="24">
        <v>103291.54</v>
      </c>
      <c r="J53" s="24">
        <v>0</v>
      </c>
      <c r="K53" s="24">
        <v>177343.5</v>
      </c>
      <c r="L53" s="24">
        <v>4578.3999999999996</v>
      </c>
      <c r="M53" s="24">
        <v>105374</v>
      </c>
      <c r="N53" s="24">
        <f t="shared" si="8"/>
        <v>1294739.08</v>
      </c>
    </row>
    <row r="54" spans="1:14" ht="17.25" customHeight="1" x14ac:dyDescent="0.25">
      <c r="A54" s="5" t="s">
        <v>45</v>
      </c>
      <c r="B54" s="24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f t="shared" si="8"/>
        <v>0</v>
      </c>
    </row>
    <row r="55" spans="1:14" ht="17.25" customHeight="1" x14ac:dyDescent="0.25">
      <c r="A55" s="5" t="s">
        <v>46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f t="shared" si="8"/>
        <v>0</v>
      </c>
    </row>
    <row r="56" spans="1:14" ht="17.25" customHeight="1" x14ac:dyDescent="0.25">
      <c r="A56" s="5" t="s">
        <v>47</v>
      </c>
      <c r="B56" s="24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f t="shared" si="8"/>
        <v>0</v>
      </c>
    </row>
    <row r="57" spans="1:14" ht="17.25" customHeight="1" x14ac:dyDescent="0.25">
      <c r="A57" s="5" t="s">
        <v>48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1307.99</v>
      </c>
      <c r="H57" s="24">
        <v>0</v>
      </c>
      <c r="I57" s="24">
        <v>15340</v>
      </c>
      <c r="J57" s="24">
        <v>0</v>
      </c>
      <c r="K57" s="24">
        <v>0</v>
      </c>
      <c r="L57" s="24">
        <v>89722.5</v>
      </c>
      <c r="M57" s="24">
        <v>0</v>
      </c>
      <c r="N57" s="24">
        <f t="shared" si="8"/>
        <v>106370.49</v>
      </c>
    </row>
    <row r="58" spans="1:14" ht="17.25" customHeight="1" x14ac:dyDescent="0.25">
      <c r="A58" s="5" t="s">
        <v>49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f t="shared" ref="N58:N61" si="9">SUM(B58:M58)</f>
        <v>0</v>
      </c>
    </row>
    <row r="59" spans="1:14" ht="17.25" customHeight="1" x14ac:dyDescent="0.25">
      <c r="A59" s="5" t="s">
        <v>50</v>
      </c>
      <c r="B59" s="24">
        <v>0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24">
        <f t="shared" si="9"/>
        <v>0</v>
      </c>
    </row>
    <row r="60" spans="1:14" ht="17.25" customHeight="1" x14ac:dyDescent="0.25">
      <c r="A60" s="5" t="s">
        <v>51</v>
      </c>
      <c r="B60" s="24">
        <v>0</v>
      </c>
      <c r="C60" s="24">
        <v>0</v>
      </c>
      <c r="D60" s="24">
        <v>40000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f t="shared" si="9"/>
        <v>40000</v>
      </c>
    </row>
    <row r="61" spans="1:14" ht="17.25" customHeight="1" x14ac:dyDescent="0.25">
      <c r="A61" s="5" t="s">
        <v>52</v>
      </c>
      <c r="B61" s="24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f t="shared" si="9"/>
        <v>0</v>
      </c>
    </row>
    <row r="62" spans="1:14" ht="17.25" customHeight="1" x14ac:dyDescent="0.25">
      <c r="A62" s="3" t="s">
        <v>53</v>
      </c>
      <c r="B62" s="25">
        <f t="shared" ref="B62:N62" si="10">B63</f>
        <v>0</v>
      </c>
      <c r="C62" s="25">
        <f t="shared" si="10"/>
        <v>0</v>
      </c>
      <c r="D62" s="25">
        <f t="shared" si="10"/>
        <v>0</v>
      </c>
      <c r="E62" s="25">
        <f t="shared" si="10"/>
        <v>0</v>
      </c>
      <c r="F62" s="25">
        <f t="shared" si="10"/>
        <v>0</v>
      </c>
      <c r="G62" s="25">
        <f t="shared" si="10"/>
        <v>0</v>
      </c>
      <c r="H62" s="25">
        <f t="shared" si="10"/>
        <v>0</v>
      </c>
      <c r="I62" s="25">
        <f t="shared" si="10"/>
        <v>0</v>
      </c>
      <c r="J62" s="25">
        <f t="shared" si="10"/>
        <v>0</v>
      </c>
      <c r="K62" s="25">
        <f t="shared" si="10"/>
        <v>0</v>
      </c>
      <c r="L62" s="25">
        <f t="shared" si="10"/>
        <v>0</v>
      </c>
      <c r="M62" s="25">
        <f t="shared" si="10"/>
        <v>0</v>
      </c>
      <c r="N62" s="25">
        <f t="shared" si="10"/>
        <v>0</v>
      </c>
    </row>
    <row r="63" spans="1:14" ht="17.25" customHeight="1" x14ac:dyDescent="0.25">
      <c r="A63" s="5" t="s">
        <v>54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</row>
    <row r="64" spans="1:14" ht="17.25" customHeight="1" x14ac:dyDescent="0.25">
      <c r="A64" s="5" t="s">
        <v>55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ht="17.25" customHeight="1" x14ac:dyDescent="0.25">
      <c r="A65" s="5" t="s">
        <v>56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</row>
    <row r="66" spans="1:14" ht="17.25" customHeight="1" x14ac:dyDescent="0.25">
      <c r="A66" s="5" t="s">
        <v>57</v>
      </c>
      <c r="B66" s="24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ht="17.25" customHeight="1" x14ac:dyDescent="0.25">
      <c r="A67" s="3" t="s">
        <v>58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</row>
    <row r="68" spans="1:14" ht="17.25" customHeight="1" x14ac:dyDescent="0.25">
      <c r="A68" s="5" t="s">
        <v>59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24">
        <v>0</v>
      </c>
      <c r="L68" s="24">
        <v>0</v>
      </c>
      <c r="M68" s="24">
        <v>0</v>
      </c>
      <c r="N68" s="24">
        <v>0</v>
      </c>
    </row>
    <row r="69" spans="1:14" ht="17.25" customHeight="1" x14ac:dyDescent="0.25">
      <c r="A69" s="5" t="s">
        <v>60</v>
      </c>
      <c r="B69" s="24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</row>
    <row r="70" spans="1:14" ht="17.25" customHeight="1" x14ac:dyDescent="0.25">
      <c r="A70" s="3" t="s">
        <v>61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0</v>
      </c>
    </row>
    <row r="71" spans="1:14" ht="17.25" customHeight="1" x14ac:dyDescent="0.25">
      <c r="A71" s="5" t="s">
        <v>62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ht="17.25" customHeight="1" x14ac:dyDescent="0.25">
      <c r="A72" s="5" t="s">
        <v>63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ht="17.25" customHeight="1" x14ac:dyDescent="0.25">
      <c r="A73" s="5" t="s">
        <v>64</v>
      </c>
      <c r="B73" s="24">
        <v>0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ht="17.25" customHeight="1" x14ac:dyDescent="0.25">
      <c r="A74" s="1" t="s">
        <v>67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25">
        <v>0</v>
      </c>
      <c r="L74" s="25">
        <v>0</v>
      </c>
      <c r="M74" s="25">
        <v>0</v>
      </c>
      <c r="N74" s="25">
        <v>0</v>
      </c>
    </row>
    <row r="75" spans="1:14" ht="17.25" customHeight="1" x14ac:dyDescent="0.25">
      <c r="A75" s="3" t="s">
        <v>68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  <c r="M75" s="25">
        <v>0</v>
      </c>
      <c r="N75" s="25">
        <v>0</v>
      </c>
    </row>
    <row r="76" spans="1:14" ht="17.25" customHeight="1" x14ac:dyDescent="0.25">
      <c r="A76" s="5" t="s">
        <v>69</v>
      </c>
      <c r="B76" s="24">
        <v>0</v>
      </c>
      <c r="C76" s="24">
        <v>0</v>
      </c>
      <c r="D76" s="24">
        <v>0</v>
      </c>
      <c r="E76" s="24">
        <v>0</v>
      </c>
      <c r="F76" s="24">
        <v>0</v>
      </c>
      <c r="G76" s="24">
        <v>0</v>
      </c>
      <c r="H76" s="24">
        <v>0</v>
      </c>
      <c r="I76" s="24">
        <v>0</v>
      </c>
      <c r="J76" s="24">
        <v>0</v>
      </c>
      <c r="K76" s="24">
        <v>0</v>
      </c>
      <c r="L76" s="24">
        <v>0</v>
      </c>
      <c r="M76" s="24">
        <v>0</v>
      </c>
      <c r="N76" s="24">
        <v>0</v>
      </c>
    </row>
    <row r="77" spans="1:14" ht="17.25" customHeight="1" x14ac:dyDescent="0.25">
      <c r="A77" s="5" t="s">
        <v>70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4">
        <v>0</v>
      </c>
      <c r="N77" s="24">
        <v>0</v>
      </c>
    </row>
    <row r="78" spans="1:14" ht="17.25" customHeight="1" x14ac:dyDescent="0.25">
      <c r="A78" s="3" t="s">
        <v>71</v>
      </c>
      <c r="B78" s="25">
        <v>0</v>
      </c>
      <c r="C78" s="25">
        <v>0</v>
      </c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</row>
    <row r="79" spans="1:14" ht="17.25" customHeight="1" x14ac:dyDescent="0.25">
      <c r="A79" s="5" t="s">
        <v>72</v>
      </c>
      <c r="B79" s="24">
        <v>0</v>
      </c>
      <c r="C79" s="24">
        <v>0</v>
      </c>
      <c r="D79" s="24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</row>
    <row r="80" spans="1:14" ht="17.25" customHeight="1" x14ac:dyDescent="0.25">
      <c r="A80" s="5" t="s">
        <v>73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</row>
    <row r="81" spans="1:14" ht="17.25" customHeight="1" x14ac:dyDescent="0.25">
      <c r="A81" s="3" t="s">
        <v>74</v>
      </c>
      <c r="B81" s="25">
        <v>0</v>
      </c>
      <c r="C81" s="25">
        <v>0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  <c r="J81" s="25">
        <v>0</v>
      </c>
      <c r="K81" s="25">
        <v>0</v>
      </c>
      <c r="L81" s="25">
        <v>0</v>
      </c>
      <c r="M81" s="25">
        <v>0</v>
      </c>
      <c r="N81" s="25">
        <v>0</v>
      </c>
    </row>
    <row r="82" spans="1:14" ht="17.25" customHeight="1" x14ac:dyDescent="0.25">
      <c r="A82" s="5" t="s">
        <v>75</v>
      </c>
      <c r="B82" s="24">
        <v>0</v>
      </c>
      <c r="C82" s="24">
        <v>0</v>
      </c>
      <c r="D82" s="24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</row>
    <row r="83" spans="1:14" x14ac:dyDescent="0.25">
      <c r="A83" s="9" t="s">
        <v>65</v>
      </c>
      <c r="B83" s="26">
        <f>B10+B16+B24+B52+B26</f>
        <v>19181413.640000001</v>
      </c>
      <c r="C83" s="26">
        <f>C52+C16+C10+C26</f>
        <v>19650295.649999999</v>
      </c>
      <c r="D83" s="26">
        <f>D52+D16+D10+D26+D36</f>
        <v>23135808.469999999</v>
      </c>
      <c r="E83" s="26">
        <f>E52+E16+E10+E26</f>
        <v>32521576.899999999</v>
      </c>
      <c r="F83" s="26">
        <f>F52+F16+F10+F26</f>
        <v>19743243.729999997</v>
      </c>
      <c r="G83" s="26">
        <f>G52+G16+G10+G26</f>
        <v>27331415.18</v>
      </c>
      <c r="H83" s="26">
        <f>H52+H16+H10+H26</f>
        <v>21207148.729999997</v>
      </c>
      <c r="I83" s="26">
        <f>I52+I26+I16+I10</f>
        <v>22865481.84</v>
      </c>
      <c r="J83" s="26">
        <f>J52+J26+J16+J10</f>
        <v>21839522.75</v>
      </c>
      <c r="K83" s="26">
        <f>K52+K16+K10+K26</f>
        <v>36209807.259999998</v>
      </c>
      <c r="L83" s="26">
        <f>L52+L16+L10+L26</f>
        <v>41728467.640000001</v>
      </c>
      <c r="M83" s="26">
        <f>M10+M16+M52+M26</f>
        <v>43323249.170000002</v>
      </c>
      <c r="N83" s="26">
        <f>N52+N26+N16+N10+N36</f>
        <v>328955927.26999998</v>
      </c>
    </row>
    <row r="84" spans="1:14" x14ac:dyDescent="0.25">
      <c r="A84" s="37" t="s">
        <v>111</v>
      </c>
    </row>
    <row r="85" spans="1:14" x14ac:dyDescent="0.25">
      <c r="A85" s="36"/>
    </row>
    <row r="86" spans="1:14" ht="18.75" x14ac:dyDescent="0.3">
      <c r="A86" s="30" t="s">
        <v>101</v>
      </c>
      <c r="B86" s="29"/>
      <c r="C86" s="29"/>
      <c r="D86" s="29"/>
      <c r="E86" s="30" t="s">
        <v>102</v>
      </c>
      <c r="G86" s="31"/>
      <c r="I86" s="32"/>
      <c r="J86" s="29"/>
    </row>
    <row r="87" spans="1:14" ht="47.25" customHeight="1" x14ac:dyDescent="0.3">
      <c r="A87" s="33" t="s">
        <v>103</v>
      </c>
      <c r="B87" s="31"/>
      <c r="C87" s="29"/>
      <c r="D87" s="29"/>
      <c r="E87" s="33" t="s">
        <v>103</v>
      </c>
      <c r="G87" s="33"/>
      <c r="H87" s="29"/>
      <c r="I87" s="29"/>
      <c r="J87" s="29"/>
    </row>
    <row r="88" spans="1:14" ht="18.75" x14ac:dyDescent="0.3">
      <c r="A88" s="31" t="s">
        <v>104</v>
      </c>
      <c r="B88" s="31"/>
      <c r="C88" s="29"/>
      <c r="D88" s="29"/>
      <c r="E88" s="31" t="s">
        <v>108</v>
      </c>
      <c r="F88" s="35"/>
      <c r="G88" s="38" t="s">
        <v>112</v>
      </c>
      <c r="H88" s="35"/>
      <c r="I88" s="35"/>
      <c r="J88" s="29"/>
    </row>
    <row r="89" spans="1:14" ht="18.75" x14ac:dyDescent="0.3">
      <c r="A89" s="31" t="s">
        <v>106</v>
      </c>
      <c r="B89" s="31"/>
      <c r="C89" s="29"/>
      <c r="D89" s="29"/>
      <c r="E89" s="31" t="s">
        <v>109</v>
      </c>
      <c r="G89" s="31"/>
      <c r="H89" s="29"/>
      <c r="I89" s="29"/>
      <c r="J89" s="29"/>
    </row>
    <row r="90" spans="1:14" ht="18.75" x14ac:dyDescent="0.3">
      <c r="C90" s="29"/>
      <c r="D90" s="29"/>
      <c r="E90" s="29"/>
      <c r="G90" s="29"/>
      <c r="H90" s="29"/>
      <c r="I90" s="29"/>
      <c r="J90" s="29"/>
    </row>
    <row r="91" spans="1:14" ht="18.75" x14ac:dyDescent="0.25">
      <c r="A91" s="31"/>
    </row>
  </sheetData>
  <mergeCells count="5">
    <mergeCell ref="A3:N3"/>
    <mergeCell ref="A4:N4"/>
    <mergeCell ref="A5:N5"/>
    <mergeCell ref="A6:N6"/>
    <mergeCell ref="A2:N2"/>
  </mergeCells>
  <pageMargins left="0.11811023622047245" right="0.11811023622047245" top="0.15748031496062992" bottom="0.19685039370078741" header="0.31496062992125984" footer="0.31496062992125984"/>
  <pageSetup scale="6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'P2 Presupuesto Aprobado-Ejec '!Print_Titles</vt:lpstr>
      <vt:lpstr>'P3 Ejecucion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Graciela Reyes Sanchez</cp:lastModifiedBy>
  <cp:lastPrinted>2026-01-07T16:05:34Z</cp:lastPrinted>
  <dcterms:created xsi:type="dcterms:W3CDTF">2021-07-29T18:58:50Z</dcterms:created>
  <dcterms:modified xsi:type="dcterms:W3CDTF">2026-01-07T16:06:38Z</dcterms:modified>
</cp:coreProperties>
</file>