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85D9273A-A7D2-4A9C-9172-32BD5AE8C2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53" i="2" l="1"/>
  <c r="M35" i="2"/>
  <c r="M25" i="2"/>
  <c r="M24" i="2"/>
  <c r="M23" i="2"/>
  <c r="M21" i="2"/>
  <c r="M19" i="2"/>
  <c r="M17" i="2"/>
  <c r="M11" i="2"/>
  <c r="M15" i="2"/>
  <c r="L35" i="2"/>
  <c r="L33" i="2"/>
  <c r="L32" i="2"/>
  <c r="L31" i="2"/>
  <c r="L24" i="2"/>
  <c r="L23" i="2"/>
  <c r="L22" i="2"/>
  <c r="L21" i="2"/>
  <c r="L20" i="2"/>
  <c r="L17" i="2"/>
  <c r="L11" i="2"/>
  <c r="L15" i="2"/>
  <c r="I52" i="3"/>
  <c r="K35" i="2"/>
  <c r="K33" i="2"/>
  <c r="K32" i="2"/>
  <c r="K24" i="2"/>
  <c r="K23" i="2"/>
  <c r="K21" i="2"/>
  <c r="K17" i="2"/>
  <c r="K11" i="2"/>
  <c r="K15" i="2"/>
  <c r="I25" i="2"/>
  <c r="J35" i="2"/>
  <c r="J24" i="2"/>
  <c r="J21" i="2"/>
  <c r="J17" i="2"/>
  <c r="J15" i="2"/>
  <c r="I35" i="2"/>
  <c r="I33" i="2"/>
  <c r="I32" i="2"/>
  <c r="I21" i="2"/>
  <c r="I17" i="2"/>
  <c r="I11" i="2"/>
  <c r="I15" i="2"/>
  <c r="M16" i="2" l="1"/>
  <c r="H35" i="2"/>
  <c r="H33" i="2"/>
  <c r="H32" i="2"/>
  <c r="H21" i="2"/>
  <c r="H24" i="2"/>
  <c r="H22" i="2"/>
  <c r="H17" i="2"/>
  <c r="H11" i="2"/>
  <c r="H15" i="2"/>
  <c r="E16" i="3"/>
  <c r="E21" i="3"/>
  <c r="H16" i="2" l="1"/>
  <c r="G35" i="2"/>
  <c r="G24" i="2"/>
  <c r="G22" i="2"/>
  <c r="G17" i="2"/>
  <c r="G15" i="2"/>
  <c r="P60" i="2" l="1"/>
  <c r="F52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4" i="2"/>
  <c r="E17" i="2" l="1"/>
  <c r="E15" i="2"/>
  <c r="E11" i="2"/>
  <c r="D17" i="2"/>
  <c r="D11" i="2"/>
  <c r="D15" i="2"/>
  <c r="E54" i="1"/>
  <c r="L16" i="3" l="1"/>
  <c r="L52" i="3"/>
  <c r="N55" i="3"/>
  <c r="N61" i="3"/>
  <c r="N60" i="3"/>
  <c r="N59" i="3"/>
  <c r="N58" i="3"/>
  <c r="N52" i="2"/>
  <c r="N16" i="2"/>
  <c r="J52" i="3"/>
  <c r="J26" i="3"/>
  <c r="J16" i="3"/>
  <c r="L52" i="2"/>
  <c r="L16" i="2"/>
  <c r="C52" i="2"/>
  <c r="G16" i="3"/>
  <c r="G52" i="3"/>
  <c r="I16" i="2"/>
  <c r="G26" i="3" l="1"/>
  <c r="F26" i="3"/>
  <c r="F52" i="3"/>
  <c r="F16" i="3"/>
  <c r="H52" i="2"/>
  <c r="P37" i="2"/>
  <c r="E26" i="3"/>
  <c r="G16" i="2" l="1"/>
  <c r="E16" i="2"/>
  <c r="E18" i="1" l="1"/>
  <c r="F16" i="2"/>
  <c r="N37" i="3" l="1"/>
  <c r="D16" i="3"/>
  <c r="B16" i="3" l="1"/>
  <c r="B10" i="2"/>
  <c r="D16" i="2"/>
  <c r="C16" i="3"/>
  <c r="D28" i="1"/>
  <c r="D12" i="1"/>
  <c r="M16" i="3"/>
  <c r="M26" i="3"/>
  <c r="M52" i="3"/>
  <c r="O16" i="2"/>
  <c r="K26" i="3"/>
  <c r="P34" i="2"/>
  <c r="P57" i="2"/>
  <c r="P56" i="2"/>
  <c r="P55" i="2"/>
  <c r="H16" i="3" l="1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6" i="2"/>
  <c r="D18" i="1" l="1"/>
  <c r="M10" i="3"/>
  <c r="O52" i="2"/>
  <c r="C36" i="2"/>
  <c r="C16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4" i="2"/>
  <c r="P53" i="2"/>
  <c r="M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C83" i="2" l="1"/>
  <c r="P10" i="2"/>
  <c r="K83" i="3"/>
  <c r="E83" i="3"/>
  <c r="C83" i="3"/>
  <c r="B83" i="3"/>
  <c r="M83" i="3"/>
  <c r="L83" i="3"/>
  <c r="B83" i="2"/>
  <c r="P52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  <c r="P83" i="2"/>
</calcChain>
</file>

<file path=xl/sharedStrings.xml><?xml version="1.0" encoding="utf-8"?>
<sst xmlns="http://schemas.openxmlformats.org/spreadsheetml/2006/main" count="294" uniqueCount="115">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</sst>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  <font>
      <sz val="18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8" fillId="0" borderId="5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9" fillId="0" borderId="5" xfId="0" applyFont="1" applyBorder="1" applyAlignment="1">
      <alignment horizontal="center" vertical="top" wrapText="1" readingOrder="1"/>
    </xf>
    <xf numFmtId="0" fontId="19" fillId="0" borderId="0" xfId="0" applyFont="1" applyAlignment="1">
      <alignment horizontal="center" vertical="top" wrapText="1" readingOrder="1"/>
    </xf>
    <xf numFmtId="0" fontId="0" fillId="0" borderId="0" xfId="0" applyFont="1"/>
    <xf numFmtId="0" fontId="20" fillId="0" borderId="0" xfId="0" applyFont="1" applyAlignment="1">
      <alignment horizontal="left" indent="1"/>
    </xf>
    <xf numFmtId="4" fontId="20" fillId="0" borderId="0" xfId="0" applyNumberFormat="1" applyFont="1"/>
    <xf numFmtId="0" fontId="21" fillId="0" borderId="0" xfId="0" applyFont="1"/>
    <xf numFmtId="0" fontId="21" fillId="0" borderId="0" xfId="0" applyFont="1" applyAlignment="1">
      <alignment horizontal="left" indent="2"/>
    </xf>
    <xf numFmtId="4" fontId="21" fillId="0" borderId="0" xfId="0" applyNumberFormat="1" applyFont="1"/>
    <xf numFmtId="0" fontId="21" fillId="0" borderId="9" xfId="0" applyFont="1" applyBorder="1"/>
    <xf numFmtId="0" fontId="21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/>
    </xf>
    <xf numFmtId="4" fontId="20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647700</xdr:colOff>
      <xdr:row>0</xdr:row>
      <xdr:rowOff>152400</xdr:rowOff>
    </xdr:from>
    <xdr:to>
      <xdr:col>15</xdr:col>
      <xdr:colOff>609600</xdr:colOff>
      <xdr:row>4</xdr:row>
      <xdr:rowOff>142875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5411450" y="533400"/>
          <a:ext cx="1876425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762001</xdr:colOff>
      <xdr:row>0</xdr:row>
      <xdr:rowOff>95250</xdr:rowOff>
    </xdr:from>
    <xdr:to>
      <xdr:col>15</xdr:col>
      <xdr:colOff>459262</xdr:colOff>
      <xdr:row>4</xdr:row>
      <xdr:rowOff>106950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1" y="4762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C18" sqref="C1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110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2025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223046998</v>
      </c>
      <c r="F12" s="8"/>
    </row>
    <row r="13" spans="2:16" x14ac:dyDescent="0.25">
      <c r="C13" s="5" t="s">
        <v>2</v>
      </c>
      <c r="D13" s="6">
        <v>166834000</v>
      </c>
      <c r="E13" s="6">
        <v>172279000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95837957.099999994</v>
      </c>
      <c r="F18" s="8"/>
    </row>
    <row r="19" spans="3:6" x14ac:dyDescent="0.25">
      <c r="C19" s="5" t="s">
        <v>8</v>
      </c>
      <c r="D19" s="6">
        <v>27452090</v>
      </c>
      <c r="E19" s="6">
        <v>27768890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12144550</v>
      </c>
      <c r="F21" s="8"/>
    </row>
    <row r="22" spans="3:6" x14ac:dyDescent="0.25">
      <c r="C22" s="5" t="s">
        <v>11</v>
      </c>
      <c r="D22" s="6">
        <v>1720000</v>
      </c>
      <c r="E22" s="6">
        <v>1145980</v>
      </c>
      <c r="F22" s="8"/>
    </row>
    <row r="23" spans="3:6" x14ac:dyDescent="0.25">
      <c r="C23" s="5" t="s">
        <v>12</v>
      </c>
      <c r="D23" s="6">
        <v>23404000</v>
      </c>
      <c r="E23" s="6">
        <v>24493925</v>
      </c>
    </row>
    <row r="24" spans="3:6" x14ac:dyDescent="0.25">
      <c r="C24" s="5" t="s">
        <v>13</v>
      </c>
      <c r="D24" s="6">
        <v>14670500</v>
      </c>
      <c r="E24" s="6">
        <v>14300500</v>
      </c>
    </row>
    <row r="25" spans="3:6" x14ac:dyDescent="0.25">
      <c r="C25" s="5" t="s">
        <v>14</v>
      </c>
      <c r="D25" s="6">
        <v>2820000</v>
      </c>
      <c r="E25" s="6">
        <v>5223200</v>
      </c>
    </row>
    <row r="26" spans="3:6" x14ac:dyDescent="0.25">
      <c r="C26" s="5" t="s">
        <v>15</v>
      </c>
      <c r="D26" s="6">
        <v>1635000</v>
      </c>
      <c r="E26" s="6">
        <v>5406072.0999999996</v>
      </c>
    </row>
    <row r="27" spans="3:6" x14ac:dyDescent="0.25">
      <c r="C27" s="5" t="s">
        <v>16</v>
      </c>
      <c r="D27" s="6">
        <v>3280000</v>
      </c>
      <c r="E27" s="6">
        <v>5139840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15561839</v>
      </c>
    </row>
    <row r="29" spans="3:6" x14ac:dyDescent="0.25">
      <c r="C29" s="5" t="s">
        <v>18</v>
      </c>
      <c r="D29" s="6">
        <v>665000</v>
      </c>
      <c r="E29" s="6">
        <v>680630.53</v>
      </c>
    </row>
    <row r="30" spans="3:6" x14ac:dyDescent="0.25">
      <c r="C30" s="5" t="s">
        <v>19</v>
      </c>
      <c r="D30" s="6">
        <v>125000</v>
      </c>
      <c r="E30" s="6">
        <v>505200</v>
      </c>
    </row>
    <row r="31" spans="3:6" x14ac:dyDescent="0.25">
      <c r="C31" s="5" t="s">
        <v>20</v>
      </c>
      <c r="D31" s="6">
        <v>475000</v>
      </c>
      <c r="E31" s="6">
        <v>613200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280369.46999999997</v>
      </c>
    </row>
    <row r="34" spans="3:5" x14ac:dyDescent="0.25">
      <c r="C34" s="5" t="s">
        <v>23</v>
      </c>
      <c r="D34" s="6">
        <v>305002</v>
      </c>
      <c r="E34" s="6">
        <v>366002</v>
      </c>
    </row>
    <row r="35" spans="3:5" x14ac:dyDescent="0.25">
      <c r="C35" s="5" t="s">
        <v>24</v>
      </c>
      <c r="D35" s="6">
        <v>11100000</v>
      </c>
      <c r="E35" s="6">
        <v>11333500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1782937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1347500</v>
      </c>
    </row>
    <row r="55" spans="3:5" x14ac:dyDescent="0.25">
      <c r="C55" s="5" t="s">
        <v>44</v>
      </c>
      <c r="D55" s="6">
        <v>650000</v>
      </c>
      <c r="E55" s="6">
        <v>1280000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27500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335844294.10000002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0"/>
  <sheetViews>
    <sheetView showGridLines="0" tabSelected="1" workbookViewId="0">
      <selection activeCell="F17" sqref="F17"/>
    </sheetView>
  </sheetViews>
  <sheetFormatPr defaultColWidth="11.42578125" defaultRowHeight="15" x14ac:dyDescent="0.25"/>
  <cols>
    <col min="1" max="1" width="55.42578125" customWidth="1"/>
    <col min="2" max="2" width="15.5703125" customWidth="1"/>
    <col min="3" max="3" width="13.42578125" customWidth="1"/>
    <col min="4" max="4" width="12.85546875" customWidth="1"/>
    <col min="5" max="5" width="15.1406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12.85546875" customWidth="1"/>
    <col min="13" max="13" width="13.85546875" customWidth="1"/>
    <col min="14" max="14" width="7.28515625" customWidth="1"/>
    <col min="15" max="15" width="7.42578125" customWidth="1"/>
    <col min="16" max="16" width="14.28515625" customWidth="1"/>
  </cols>
  <sheetData>
    <row r="1" spans="1:17" ht="28.5" customHeight="1" x14ac:dyDescent="0.25">
      <c r="A1" s="56" t="s">
        <v>110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7" ht="21" customHeight="1" x14ac:dyDescent="0.25">
      <c r="A2" s="58" t="s">
        <v>99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7" ht="15.75" x14ac:dyDescent="0.25">
      <c r="A3" s="46">
        <v>2025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7" ht="15.75" customHeight="1" x14ac:dyDescent="0.25">
      <c r="A4" s="41" t="s">
        <v>92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7" ht="15.75" customHeight="1" x14ac:dyDescent="0.25">
      <c r="A5" s="42" t="s">
        <v>77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7" spans="1:17" ht="25.5" customHeight="1" x14ac:dyDescent="0.25">
      <c r="A7" s="43" t="s">
        <v>66</v>
      </c>
      <c r="B7" s="44" t="s">
        <v>94</v>
      </c>
      <c r="C7" s="44" t="s">
        <v>93</v>
      </c>
      <c r="D7" s="49" t="s">
        <v>91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spans="1:17" x14ac:dyDescent="0.25">
      <c r="A8" s="43"/>
      <c r="B8" s="45"/>
      <c r="C8" s="45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87</v>
      </c>
      <c r="M8" s="15" t="s">
        <v>88</v>
      </c>
      <c r="N8" s="15" t="s">
        <v>113</v>
      </c>
      <c r="O8" s="16" t="s">
        <v>114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s="63" customFormat="1" ht="12.75" x14ac:dyDescent="0.2">
      <c r="A10" s="61" t="s">
        <v>1</v>
      </c>
      <c r="B10" s="62">
        <f>B11+B12+B15</f>
        <v>217601998</v>
      </c>
      <c r="C10" s="62">
        <f>C11+C12+C15</f>
        <v>223046998</v>
      </c>
      <c r="D10" s="62">
        <f t="shared" ref="D10:O10" si="0">D11+D12+D15</f>
        <v>14442586.75</v>
      </c>
      <c r="E10" s="62">
        <f t="shared" si="0"/>
        <v>14350642.969999999</v>
      </c>
      <c r="F10" s="62">
        <f t="shared" si="0"/>
        <v>16190801.01</v>
      </c>
      <c r="G10" s="62">
        <f t="shared" si="0"/>
        <v>27027152.419999998</v>
      </c>
      <c r="H10" s="62">
        <f t="shared" si="0"/>
        <v>14161002.27</v>
      </c>
      <c r="I10" s="62">
        <f t="shared" si="0"/>
        <v>14633628.659999998</v>
      </c>
      <c r="J10" s="62">
        <f t="shared" si="0"/>
        <v>14487741.35</v>
      </c>
      <c r="K10" s="62">
        <f t="shared" si="0"/>
        <v>14606610.34</v>
      </c>
      <c r="L10" s="62">
        <f t="shared" si="0"/>
        <v>14413861.949999999</v>
      </c>
      <c r="M10" s="62">
        <f t="shared" si="0"/>
        <v>26646651.669999998</v>
      </c>
      <c r="N10" s="62">
        <f t="shared" si="0"/>
        <v>0</v>
      </c>
      <c r="O10" s="62">
        <f t="shared" si="0"/>
        <v>0</v>
      </c>
      <c r="P10" s="62">
        <f>SUM(D10:O10)</f>
        <v>170960679.38999996</v>
      </c>
    </row>
    <row r="11" spans="1:17" s="63" customFormat="1" ht="12.75" x14ac:dyDescent="0.2">
      <c r="A11" s="64" t="s">
        <v>2</v>
      </c>
      <c r="B11" s="65">
        <v>166834000</v>
      </c>
      <c r="C11" s="65">
        <v>172279000</v>
      </c>
      <c r="D11" s="65">
        <f>12263814.61+22000</f>
        <v>12285814.609999999</v>
      </c>
      <c r="E11" s="65">
        <f>12196731.28+9333.33</f>
        <v>12206064.609999999</v>
      </c>
      <c r="F11" s="65">
        <v>14036483.119999999</v>
      </c>
      <c r="G11" s="65">
        <v>24873991.829999998</v>
      </c>
      <c r="H11" s="65">
        <f>11968631.28+20000+29072.45</f>
        <v>12017703.729999999</v>
      </c>
      <c r="I11" s="65">
        <f>12006464.61+20000+18515+439840.79</f>
        <v>12484820.399999999</v>
      </c>
      <c r="J11" s="65">
        <v>12323850.119999999</v>
      </c>
      <c r="K11" s="65">
        <f>12234664.61+192000</f>
        <v>12426664.609999999</v>
      </c>
      <c r="L11" s="65">
        <f>11789664.61+510844.49</f>
        <v>12300509.1</v>
      </c>
      <c r="M11" s="65">
        <f>11886664.61+84000+406091.38+12142572.84</f>
        <v>24519328.829999998</v>
      </c>
      <c r="N11" s="65">
        <v>0</v>
      </c>
      <c r="O11" s="65">
        <v>0</v>
      </c>
      <c r="P11" s="65">
        <f>SUM(D11:O11)</f>
        <v>149475230.95999998</v>
      </c>
    </row>
    <row r="12" spans="1:17" s="63" customFormat="1" ht="12.75" x14ac:dyDescent="0.2">
      <c r="A12" s="64" t="s">
        <v>3</v>
      </c>
      <c r="B12" s="65">
        <v>28302000</v>
      </c>
      <c r="C12" s="65">
        <v>28302000</v>
      </c>
      <c r="D12" s="65">
        <v>309500</v>
      </c>
      <c r="E12" s="65">
        <v>309500</v>
      </c>
      <c r="F12" s="65">
        <v>333500</v>
      </c>
      <c r="G12" s="65">
        <v>333500</v>
      </c>
      <c r="H12" s="65">
        <v>333500</v>
      </c>
      <c r="I12" s="65">
        <v>333500</v>
      </c>
      <c r="J12" s="65">
        <v>333500</v>
      </c>
      <c r="K12" s="65">
        <v>333500</v>
      </c>
      <c r="L12" s="65">
        <v>333500</v>
      </c>
      <c r="M12" s="65">
        <v>333500</v>
      </c>
      <c r="N12" s="65">
        <v>0</v>
      </c>
      <c r="O12" s="65">
        <v>0</v>
      </c>
      <c r="P12" s="65">
        <f>SUM(D12:O12)</f>
        <v>3287000</v>
      </c>
    </row>
    <row r="13" spans="1:17" s="63" customFormat="1" ht="12.75" x14ac:dyDescent="0.2">
      <c r="A13" s="64" t="s">
        <v>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</row>
    <row r="14" spans="1:17" s="63" customFormat="1" ht="12.75" x14ac:dyDescent="0.2">
      <c r="A14" s="64" t="s">
        <v>5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7" s="63" customFormat="1" ht="12.75" x14ac:dyDescent="0.2">
      <c r="A15" s="64" t="s">
        <v>6</v>
      </c>
      <c r="B15" s="65">
        <v>22465998</v>
      </c>
      <c r="C15" s="65">
        <v>22465998</v>
      </c>
      <c r="D15" s="65">
        <f>864160.42+872292.83+110818.89</f>
        <v>1847272.14</v>
      </c>
      <c r="E15" s="65">
        <f>858506.14+866630.58+109941.64</f>
        <v>1835078.3599999999</v>
      </c>
      <c r="F15" s="65">
        <v>1820817.89</v>
      </c>
      <c r="G15" s="65">
        <f>851146+855772.31+112742.28</f>
        <v>1819660.59</v>
      </c>
      <c r="H15" s="65">
        <f>846572.95+851192.81+112032.78</f>
        <v>1809798.54</v>
      </c>
      <c r="I15" s="65">
        <f>849255.33+853878.98+112173.95</f>
        <v>1815308.26</v>
      </c>
      <c r="J15" s="65">
        <f>856572.21+861206.18+112612.84</f>
        <v>1830391.2300000002</v>
      </c>
      <c r="K15" s="65">
        <f>864016.71+868661.18+113767.84</f>
        <v>1846445.7300000002</v>
      </c>
      <c r="L15" s="65">
        <f>832466.21+837066.18+110320.46</f>
        <v>1779852.85</v>
      </c>
      <c r="M15" s="65">
        <f>839343.51+843953.18+110526.15</f>
        <v>1793822.8399999999</v>
      </c>
      <c r="N15" s="65">
        <v>0</v>
      </c>
      <c r="O15" s="65">
        <v>0</v>
      </c>
      <c r="P15" s="65">
        <f t="shared" ref="P15:P25" si="1">SUM(D15:O15)</f>
        <v>18198448.43</v>
      </c>
    </row>
    <row r="16" spans="1:17" s="63" customFormat="1" ht="12.75" x14ac:dyDescent="0.2">
      <c r="A16" s="61" t="s">
        <v>7</v>
      </c>
      <c r="B16" s="62">
        <f t="shared" ref="B16:G16" si="2">B17+B18+B19+B20+B21+B22+B23+B24+B25</f>
        <v>78896590</v>
      </c>
      <c r="C16" s="62">
        <f t="shared" si="2"/>
        <v>95837957.099999994</v>
      </c>
      <c r="D16" s="62">
        <f t="shared" si="2"/>
        <v>4013686.89</v>
      </c>
      <c r="E16" s="62">
        <f t="shared" si="2"/>
        <v>4564432.68</v>
      </c>
      <c r="F16" s="62">
        <f t="shared" si="2"/>
        <v>4875188.9699999988</v>
      </c>
      <c r="G16" s="62">
        <f t="shared" si="2"/>
        <v>4934694.6399999997</v>
      </c>
      <c r="H16" s="62">
        <f t="shared" ref="H16:O16" si="3">H17+H18+H19+H20+H21+H22+H23+H24+H25</f>
        <v>4598395.13</v>
      </c>
      <c r="I16" s="62">
        <f t="shared" si="3"/>
        <v>10958809.609999999</v>
      </c>
      <c r="J16" s="62">
        <f t="shared" si="3"/>
        <v>5899027.2999999989</v>
      </c>
      <c r="K16" s="62">
        <f t="shared" si="3"/>
        <v>7031406.9400000004</v>
      </c>
      <c r="L16" s="62">
        <f t="shared" si="3"/>
        <v>6198859.5</v>
      </c>
      <c r="M16" s="62">
        <f t="shared" si="3"/>
        <v>8978574.7100000009</v>
      </c>
      <c r="N16" s="62">
        <f t="shared" si="3"/>
        <v>0</v>
      </c>
      <c r="O16" s="62">
        <f t="shared" si="3"/>
        <v>0</v>
      </c>
      <c r="P16" s="62">
        <f t="shared" si="1"/>
        <v>62053076.369999997</v>
      </c>
    </row>
    <row r="17" spans="1:16" s="63" customFormat="1" ht="12.75" x14ac:dyDescent="0.2">
      <c r="A17" s="64" t="s">
        <v>8</v>
      </c>
      <c r="B17" s="65">
        <v>27452090</v>
      </c>
      <c r="C17" s="65">
        <v>27768890</v>
      </c>
      <c r="D17" s="65">
        <f>815947.89+253249.86+1011994.48+617383.3</f>
        <v>2698575.5300000003</v>
      </c>
      <c r="E17" s="65">
        <f>447933.82+404945.9+1665584.79+571326.66+27615+12329</f>
        <v>3129735.17</v>
      </c>
      <c r="F17" s="65">
        <v>2282632.04</v>
      </c>
      <c r="G17" s="65">
        <f>464494.54+191075.86+914219.55+572706.61+7541+2177</f>
        <v>2152214.56</v>
      </c>
      <c r="H17" s="65">
        <f>453154.61+191322.35+919243.32+558269.96+10270+2780</f>
        <v>2135040.2399999998</v>
      </c>
      <c r="I17" s="65">
        <f>477888.97+197435.31+923194+576243.55+4183+1610</f>
        <v>2180554.83</v>
      </c>
      <c r="J17" s="65">
        <f>469944.2+176144.03+1034079.06+540107.86+10036+8540</f>
        <v>2238851.15</v>
      </c>
      <c r="K17" s="65">
        <f>637265.63+333034.91+829575.1+571173.58+5434+2499</f>
        <v>2378982.2200000002</v>
      </c>
      <c r="L17" s="65">
        <f>619252.96+202030.41+791380.19+592485.92+3874+2500</f>
        <v>2211523.48</v>
      </c>
      <c r="M17" s="65">
        <f>412829.41+214661.71+909362.67+578755.8+3874+300</f>
        <v>2119783.59</v>
      </c>
      <c r="N17" s="65">
        <v>0</v>
      </c>
      <c r="O17" s="65">
        <v>0</v>
      </c>
      <c r="P17" s="65">
        <f t="shared" si="1"/>
        <v>23527892.809999999</v>
      </c>
    </row>
    <row r="18" spans="1:16" s="63" customFormat="1" ht="12.75" x14ac:dyDescent="0.2">
      <c r="A18" s="64" t="s">
        <v>9</v>
      </c>
      <c r="B18" s="65">
        <v>215000</v>
      </c>
      <c r="C18" s="65">
        <v>215000</v>
      </c>
      <c r="D18" s="65">
        <v>0</v>
      </c>
      <c r="E18" s="65">
        <v>0</v>
      </c>
      <c r="F18" s="65">
        <v>0</v>
      </c>
      <c r="G18" s="65">
        <v>0</v>
      </c>
      <c r="H18" s="65">
        <v>0</v>
      </c>
      <c r="I18" s="65">
        <v>1500</v>
      </c>
      <c r="J18" s="65">
        <v>0</v>
      </c>
      <c r="K18" s="65">
        <v>16940</v>
      </c>
      <c r="L18" s="65">
        <v>14876.26</v>
      </c>
      <c r="M18" s="65">
        <v>0</v>
      </c>
      <c r="N18" s="65">
        <v>0</v>
      </c>
      <c r="O18" s="65">
        <v>0</v>
      </c>
      <c r="P18" s="65">
        <f t="shared" si="1"/>
        <v>33316.26</v>
      </c>
    </row>
    <row r="19" spans="1:16" s="63" customFormat="1" ht="12.75" x14ac:dyDescent="0.2">
      <c r="A19" s="64" t="s">
        <v>10</v>
      </c>
      <c r="B19" s="65">
        <v>3700000</v>
      </c>
      <c r="C19" s="65">
        <v>12144550</v>
      </c>
      <c r="D19" s="65">
        <v>0</v>
      </c>
      <c r="E19" s="65">
        <v>119000</v>
      </c>
      <c r="F19" s="65">
        <v>85400</v>
      </c>
      <c r="G19" s="65">
        <v>167517.5</v>
      </c>
      <c r="H19" s="65">
        <v>76450</v>
      </c>
      <c r="I19" s="65">
        <v>93880</v>
      </c>
      <c r="J19" s="65">
        <v>341767.5</v>
      </c>
      <c r="K19" s="65">
        <v>172490</v>
      </c>
      <c r="L19" s="65">
        <v>501507.5</v>
      </c>
      <c r="M19" s="65">
        <f>281705.51+2670530</f>
        <v>2952235.51</v>
      </c>
      <c r="N19" s="65">
        <v>0</v>
      </c>
      <c r="O19" s="65">
        <v>0</v>
      </c>
      <c r="P19" s="65">
        <f t="shared" si="1"/>
        <v>4510248.01</v>
      </c>
    </row>
    <row r="20" spans="1:16" s="63" customFormat="1" ht="12.75" x14ac:dyDescent="0.2">
      <c r="A20" s="64" t="s">
        <v>11</v>
      </c>
      <c r="B20" s="65">
        <v>1720000</v>
      </c>
      <c r="C20" s="65">
        <v>1145980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  <c r="J20" s="65">
        <v>0</v>
      </c>
      <c r="K20" s="65">
        <v>139000</v>
      </c>
      <c r="L20" s="65">
        <f>7641.56+64700+12668.68</f>
        <v>85010.239999999991</v>
      </c>
      <c r="M20" s="65">
        <v>0</v>
      </c>
      <c r="N20" s="65">
        <v>0</v>
      </c>
      <c r="O20" s="65">
        <v>0</v>
      </c>
      <c r="P20" s="65">
        <f t="shared" si="1"/>
        <v>224010.23999999999</v>
      </c>
    </row>
    <row r="21" spans="1:16" s="63" customFormat="1" ht="12.75" x14ac:dyDescent="0.2">
      <c r="A21" s="64" t="s">
        <v>12</v>
      </c>
      <c r="B21" s="65">
        <v>23404000</v>
      </c>
      <c r="C21" s="65">
        <v>24493925</v>
      </c>
      <c r="D21" s="65">
        <v>0</v>
      </c>
      <c r="E21" s="65">
        <v>84488</v>
      </c>
      <c r="F21" s="65">
        <v>355001.48</v>
      </c>
      <c r="G21" s="65">
        <v>147139.93</v>
      </c>
      <c r="H21" s="65">
        <f>81184+141787.8</f>
        <v>222971.8</v>
      </c>
      <c r="I21" s="65">
        <f>6849049.33+81184</f>
        <v>6930233.3300000001</v>
      </c>
      <c r="J21" s="65">
        <f>1462191.62+81184</f>
        <v>1543375.62</v>
      </c>
      <c r="K21" s="65">
        <f>2419302.18+81184+214435.65</f>
        <v>2714921.83</v>
      </c>
      <c r="L21" s="65">
        <f>1126786.06+127746.21</f>
        <v>1254532.27</v>
      </c>
      <c r="M21" s="65">
        <f>2020293.34+81184</f>
        <v>2101477.34</v>
      </c>
      <c r="N21" s="65">
        <v>0</v>
      </c>
      <c r="O21" s="65">
        <v>0</v>
      </c>
      <c r="P21" s="65">
        <f t="shared" si="1"/>
        <v>15354141.6</v>
      </c>
    </row>
    <row r="22" spans="1:16" s="63" customFormat="1" ht="12.75" x14ac:dyDescent="0.2">
      <c r="A22" s="64" t="s">
        <v>13</v>
      </c>
      <c r="B22" s="65">
        <v>14670500</v>
      </c>
      <c r="C22" s="65">
        <v>14300500</v>
      </c>
      <c r="D22" s="65">
        <v>1194917.68</v>
      </c>
      <c r="E22" s="65">
        <v>880511.45</v>
      </c>
      <c r="F22" s="65">
        <v>1565479</v>
      </c>
      <c r="G22" s="65">
        <f>326888.77+1198709.99</f>
        <v>1525598.76</v>
      </c>
      <c r="H22" s="65">
        <f>293205.46+1363636.29</f>
        <v>1656841.75</v>
      </c>
      <c r="I22" s="65">
        <v>1464175.53</v>
      </c>
      <c r="J22" s="65">
        <v>850726.87</v>
      </c>
      <c r="K22" s="65">
        <v>1175041.5</v>
      </c>
      <c r="L22" s="65">
        <f>392531.66+838998.35</f>
        <v>1231530.01</v>
      </c>
      <c r="M22" s="65">
        <v>1398967.97</v>
      </c>
      <c r="N22" s="65">
        <v>0</v>
      </c>
      <c r="O22" s="65">
        <v>0</v>
      </c>
      <c r="P22" s="65">
        <f t="shared" si="1"/>
        <v>12943790.52</v>
      </c>
    </row>
    <row r="23" spans="1:16" s="63" customFormat="1" ht="25.5" x14ac:dyDescent="0.2">
      <c r="A23" s="67" t="s">
        <v>14</v>
      </c>
      <c r="B23" s="65">
        <v>2820000</v>
      </c>
      <c r="C23" s="65">
        <v>5223200</v>
      </c>
      <c r="D23" s="65">
        <v>42244</v>
      </c>
      <c r="E23" s="65">
        <v>86199</v>
      </c>
      <c r="F23" s="65">
        <v>449532.8</v>
      </c>
      <c r="G23" s="65">
        <v>566400</v>
      </c>
      <c r="H23" s="65">
        <v>7620.8</v>
      </c>
      <c r="I23" s="65">
        <v>0</v>
      </c>
      <c r="J23" s="65">
        <v>149989.79999999999</v>
      </c>
      <c r="K23" s="65">
        <f>30000+96800</f>
        <v>126800</v>
      </c>
      <c r="L23" s="65">
        <f>1400+600164.3</f>
        <v>601564.30000000005</v>
      </c>
      <c r="M23" s="65">
        <f>20000+29264+112100</f>
        <v>161364</v>
      </c>
      <c r="N23" s="65">
        <v>0</v>
      </c>
      <c r="O23" s="65">
        <v>0</v>
      </c>
      <c r="P23" s="65">
        <f t="shared" si="1"/>
        <v>2191714.7000000002</v>
      </c>
    </row>
    <row r="24" spans="1:16" s="63" customFormat="1" ht="12.75" x14ac:dyDescent="0.2">
      <c r="A24" s="64" t="s">
        <v>15</v>
      </c>
      <c r="B24" s="65">
        <v>1635000</v>
      </c>
      <c r="C24" s="65">
        <v>5406072.0999999996</v>
      </c>
      <c r="D24" s="65">
        <v>0</v>
      </c>
      <c r="E24" s="65">
        <f>5100.05+33000+19116</f>
        <v>57216.05</v>
      </c>
      <c r="F24" s="65">
        <v>17700.009999999998</v>
      </c>
      <c r="G24" s="65">
        <f>525+9300.09+16500+23895+4599.42</f>
        <v>54819.509999999995</v>
      </c>
      <c r="H24" s="65">
        <f>160000+19116</f>
        <v>179116</v>
      </c>
      <c r="I24" s="65">
        <v>73000</v>
      </c>
      <c r="J24" s="65">
        <f>7425+165200+262699.14+19116</f>
        <v>454440.14</v>
      </c>
      <c r="K24" s="65">
        <f>50464+9558</f>
        <v>60022</v>
      </c>
      <c r="L24" s="65">
        <f>1485.33+39999.99+17700+16500+11151</f>
        <v>86836.32</v>
      </c>
      <c r="M24" s="65">
        <f>20000+6249.99</f>
        <v>26249.989999999998</v>
      </c>
      <c r="N24" s="65">
        <v>0</v>
      </c>
      <c r="O24" s="65">
        <v>0</v>
      </c>
      <c r="P24" s="65">
        <f t="shared" si="1"/>
        <v>1009400.02</v>
      </c>
    </row>
    <row r="25" spans="1:16" s="63" customFormat="1" ht="12.75" x14ac:dyDescent="0.2">
      <c r="A25" s="64" t="s">
        <v>16</v>
      </c>
      <c r="B25" s="65">
        <v>3280000</v>
      </c>
      <c r="C25" s="65">
        <v>5139840</v>
      </c>
      <c r="D25" s="65">
        <v>77949.679999999993</v>
      </c>
      <c r="E25" s="65">
        <v>207283.01</v>
      </c>
      <c r="F25" s="65">
        <v>119443.64</v>
      </c>
      <c r="G25" s="65">
        <v>321004.38</v>
      </c>
      <c r="H25" s="65">
        <v>320354.53999999998</v>
      </c>
      <c r="I25" s="65">
        <f>93102+122363.92</f>
        <v>215465.91999999998</v>
      </c>
      <c r="J25" s="65">
        <v>319876.21999999997</v>
      </c>
      <c r="K25" s="65">
        <v>247209.39</v>
      </c>
      <c r="L25" s="65">
        <v>211479.12</v>
      </c>
      <c r="M25" s="65">
        <f>92244.9+126251.41</f>
        <v>218496.31</v>
      </c>
      <c r="N25" s="65">
        <v>0</v>
      </c>
      <c r="O25" s="65">
        <v>0</v>
      </c>
      <c r="P25" s="65">
        <f t="shared" si="1"/>
        <v>2258562.21</v>
      </c>
    </row>
    <row r="26" spans="1:16" s="63" customFormat="1" ht="12.75" x14ac:dyDescent="0.2">
      <c r="A26" s="61" t="s">
        <v>17</v>
      </c>
      <c r="B26" s="62">
        <f>B27+B28+B29+B30+B31+B32+B33+B35</f>
        <v>14150689</v>
      </c>
      <c r="C26" s="62">
        <f>C27+C28+C29+C30+C31+C32+C33+C35</f>
        <v>15561839</v>
      </c>
      <c r="D26" s="62">
        <f t="shared" ref="D26:P26" si="4">D27+D28+D29+D30+D31+D32+D33+D35</f>
        <v>725140</v>
      </c>
      <c r="E26" s="62">
        <f t="shared" si="4"/>
        <v>735220</v>
      </c>
      <c r="F26" s="62">
        <f t="shared" si="4"/>
        <v>1203322.1499999999</v>
      </c>
      <c r="G26" s="62">
        <f t="shared" si="4"/>
        <v>559729.84000000008</v>
      </c>
      <c r="H26" s="62">
        <f t="shared" si="4"/>
        <v>959125.32999999984</v>
      </c>
      <c r="I26" s="62">
        <f t="shared" si="4"/>
        <v>1660734.6199999999</v>
      </c>
      <c r="J26" s="62">
        <f t="shared" si="4"/>
        <v>820380.08000000007</v>
      </c>
      <c r="K26" s="62">
        <f t="shared" si="4"/>
        <v>1108833.02</v>
      </c>
      <c r="L26" s="62">
        <f t="shared" si="4"/>
        <v>1226801.2999999998</v>
      </c>
      <c r="M26" s="62">
        <f t="shared" si="4"/>
        <v>625733.68999999994</v>
      </c>
      <c r="N26" s="62">
        <f t="shared" si="4"/>
        <v>0</v>
      </c>
      <c r="O26" s="62">
        <f t="shared" si="4"/>
        <v>0</v>
      </c>
      <c r="P26" s="62">
        <f t="shared" si="4"/>
        <v>9625020.0299999993</v>
      </c>
    </row>
    <row r="27" spans="1:16" s="63" customFormat="1" ht="12.75" x14ac:dyDescent="0.2">
      <c r="A27" s="64" t="s">
        <v>18</v>
      </c>
      <c r="B27" s="65">
        <v>665000</v>
      </c>
      <c r="C27" s="65">
        <v>680630.53</v>
      </c>
      <c r="D27" s="65">
        <v>2640</v>
      </c>
      <c r="E27" s="65">
        <v>12720</v>
      </c>
      <c r="F27" s="65">
        <v>31770.05</v>
      </c>
      <c r="G27" s="65">
        <v>20384.5</v>
      </c>
      <c r="H27" s="65">
        <v>18369.990000000002</v>
      </c>
      <c r="I27" s="65">
        <v>193898.2</v>
      </c>
      <c r="J27" s="65">
        <v>4740</v>
      </c>
      <c r="K27" s="65">
        <v>28880</v>
      </c>
      <c r="L27" s="65">
        <v>191111.62</v>
      </c>
      <c r="M27" s="65">
        <v>9840</v>
      </c>
      <c r="N27" s="65">
        <v>0</v>
      </c>
      <c r="O27" s="65">
        <v>0</v>
      </c>
      <c r="P27" s="65">
        <f t="shared" ref="P27:P34" si="5">SUM(D27:O27)</f>
        <v>514354.36</v>
      </c>
    </row>
    <row r="28" spans="1:16" s="63" customFormat="1" ht="12.75" x14ac:dyDescent="0.2">
      <c r="A28" s="64" t="s">
        <v>19</v>
      </c>
      <c r="B28" s="65">
        <v>125000</v>
      </c>
      <c r="C28" s="65">
        <v>505200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112930.58</v>
      </c>
      <c r="K28" s="65">
        <v>0</v>
      </c>
      <c r="L28" s="65">
        <v>777.9</v>
      </c>
      <c r="M28" s="65">
        <v>0</v>
      </c>
      <c r="N28" s="65">
        <v>0</v>
      </c>
      <c r="O28" s="65">
        <v>0</v>
      </c>
      <c r="P28" s="65">
        <f t="shared" si="5"/>
        <v>113708.48</v>
      </c>
    </row>
    <row r="29" spans="1:16" s="63" customFormat="1" ht="12.75" x14ac:dyDescent="0.2">
      <c r="A29" s="64" t="s">
        <v>20</v>
      </c>
      <c r="B29" s="65">
        <v>475000</v>
      </c>
      <c r="C29" s="65">
        <v>613200</v>
      </c>
      <c r="D29" s="65">
        <v>0</v>
      </c>
      <c r="E29" s="65">
        <v>0</v>
      </c>
      <c r="F29" s="65">
        <v>31246.400000000001</v>
      </c>
      <c r="G29" s="65">
        <v>0</v>
      </c>
      <c r="H29" s="65">
        <v>19352</v>
      </c>
      <c r="I29" s="65">
        <v>52038</v>
      </c>
      <c r="J29" s="65">
        <v>11475</v>
      </c>
      <c r="K29" s="65">
        <v>3100</v>
      </c>
      <c r="L29" s="65">
        <v>252157.83</v>
      </c>
      <c r="M29" s="65">
        <v>19617.5</v>
      </c>
      <c r="N29" s="65">
        <v>0</v>
      </c>
      <c r="O29" s="65">
        <v>0</v>
      </c>
      <c r="P29" s="65">
        <f t="shared" si="5"/>
        <v>388986.73</v>
      </c>
    </row>
    <row r="30" spans="1:16" s="63" customFormat="1" ht="12.75" x14ac:dyDescent="0.2">
      <c r="A30" s="64" t="s">
        <v>21</v>
      </c>
      <c r="B30" s="65">
        <v>0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f t="shared" si="5"/>
        <v>0</v>
      </c>
    </row>
    <row r="31" spans="1:16" s="63" customFormat="1" ht="12.75" x14ac:dyDescent="0.2">
      <c r="A31" s="64" t="s">
        <v>22</v>
      </c>
      <c r="B31" s="65">
        <v>300000</v>
      </c>
      <c r="C31" s="65">
        <v>280369.46999999997</v>
      </c>
      <c r="D31" s="65">
        <v>0</v>
      </c>
      <c r="E31" s="65">
        <v>0</v>
      </c>
      <c r="F31" s="65">
        <v>0</v>
      </c>
      <c r="G31" s="65">
        <v>0</v>
      </c>
      <c r="H31" s="65">
        <v>7168.5</v>
      </c>
      <c r="I31" s="65">
        <v>140618.23999999999</v>
      </c>
      <c r="J31" s="65">
        <v>0</v>
      </c>
      <c r="K31" s="65">
        <v>0</v>
      </c>
      <c r="L31" s="65">
        <f>1450+13300.72</f>
        <v>14750.72</v>
      </c>
      <c r="M31" s="65">
        <v>0</v>
      </c>
      <c r="N31" s="65">
        <v>0</v>
      </c>
      <c r="O31" s="65">
        <v>0</v>
      </c>
      <c r="P31" s="65">
        <f t="shared" si="5"/>
        <v>162537.46</v>
      </c>
    </row>
    <row r="32" spans="1:16" s="63" customFormat="1" ht="12.75" x14ac:dyDescent="0.2">
      <c r="A32" s="64" t="s">
        <v>23</v>
      </c>
      <c r="B32" s="65">
        <v>305002</v>
      </c>
      <c r="C32" s="65">
        <v>366002</v>
      </c>
      <c r="D32" s="65">
        <v>0</v>
      </c>
      <c r="E32" s="65">
        <v>0</v>
      </c>
      <c r="F32" s="65">
        <v>3223.43</v>
      </c>
      <c r="G32" s="65">
        <v>324.97000000000003</v>
      </c>
      <c r="H32" s="65">
        <f>1761.47+2643.82</f>
        <v>4405.29</v>
      </c>
      <c r="I32" s="65">
        <f>2884.75+6200.05+217.5+2000.95</f>
        <v>11303.25</v>
      </c>
      <c r="J32" s="65">
        <v>111650</v>
      </c>
      <c r="K32" s="65">
        <f>672.6+1919.86+1444.32</f>
        <v>4036.7799999999997</v>
      </c>
      <c r="L32" s="65">
        <f>6073.67+995+23650.59</f>
        <v>30719.260000000002</v>
      </c>
      <c r="M32" s="65">
        <v>1534</v>
      </c>
      <c r="N32" s="65">
        <v>0</v>
      </c>
      <c r="O32" s="65">
        <v>0</v>
      </c>
      <c r="P32" s="65">
        <f t="shared" si="5"/>
        <v>167196.98000000001</v>
      </c>
    </row>
    <row r="33" spans="1:16" s="63" customFormat="1" ht="25.5" x14ac:dyDescent="0.2">
      <c r="A33" s="67" t="s">
        <v>24</v>
      </c>
      <c r="B33" s="65">
        <v>11100000</v>
      </c>
      <c r="C33" s="65">
        <v>11333500</v>
      </c>
      <c r="D33" s="65">
        <v>722500</v>
      </c>
      <c r="E33" s="65">
        <v>722500</v>
      </c>
      <c r="F33" s="65">
        <v>1015500</v>
      </c>
      <c r="G33" s="65">
        <v>516862.32</v>
      </c>
      <c r="H33" s="65">
        <f>505000+50548.6+115907.57+2468.44</f>
        <v>673924.60999999987</v>
      </c>
      <c r="I33" s="65">
        <f>789500+99999.22+10431.2+99550.11+16494.71</f>
        <v>1015975.2399999999</v>
      </c>
      <c r="J33" s="65">
        <v>512000</v>
      </c>
      <c r="K33" s="65">
        <f>900000+6773.2+6742.52</f>
        <v>913515.72</v>
      </c>
      <c r="L33" s="65">
        <f>474000+315+300+2463.74+3033.61+6063.18</f>
        <v>486175.52999999997</v>
      </c>
      <c r="M33" s="65">
        <v>484500</v>
      </c>
      <c r="N33" s="65">
        <v>0</v>
      </c>
      <c r="O33" s="65">
        <v>0</v>
      </c>
      <c r="P33" s="65">
        <f t="shared" si="5"/>
        <v>7063453.4199999999</v>
      </c>
    </row>
    <row r="34" spans="1:16" s="63" customFormat="1" ht="25.5" x14ac:dyDescent="0.2">
      <c r="A34" s="67" t="s">
        <v>25</v>
      </c>
      <c r="B34" s="65">
        <v>0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f t="shared" si="5"/>
        <v>0</v>
      </c>
    </row>
    <row r="35" spans="1:16" s="63" customFormat="1" ht="12.75" x14ac:dyDescent="0.2">
      <c r="A35" s="64" t="s">
        <v>26</v>
      </c>
      <c r="B35" s="65">
        <v>1180687</v>
      </c>
      <c r="C35" s="65">
        <v>1782937</v>
      </c>
      <c r="D35" s="65">
        <v>0</v>
      </c>
      <c r="E35" s="65">
        <v>0</v>
      </c>
      <c r="F35" s="65">
        <v>121582.27</v>
      </c>
      <c r="G35" s="65">
        <f>11876.94+6062.46+4218.65</f>
        <v>22158.050000000003</v>
      </c>
      <c r="H35" s="65">
        <f>47039.23+90737.28+26000.24+58481.84+12398.5+1247.85</f>
        <v>235904.94</v>
      </c>
      <c r="I35" s="65">
        <f>45492.66+2891.61+74365.37+30343.62+16150.06+1400.9+76257.47</f>
        <v>246901.69</v>
      </c>
      <c r="J35" s="65">
        <f>58498.5+9086</f>
        <v>67584.5</v>
      </c>
      <c r="K35" s="65">
        <f>30472.91+32621.03+34696.72+60833.58+676.28</f>
        <v>159300.51999999999</v>
      </c>
      <c r="L35" s="65">
        <f>102156.91+1905.7+640+5629.99+20801.03+3000.01+53532+708+62734.8</f>
        <v>251108.44</v>
      </c>
      <c r="M35" s="65">
        <f>80160+21461.93+5710.38+2909.88</f>
        <v>110242.19</v>
      </c>
      <c r="N35" s="65">
        <v>0</v>
      </c>
      <c r="O35" s="65">
        <v>0</v>
      </c>
      <c r="P35" s="65">
        <f>SUM(D35:O35)</f>
        <v>1214782.5999999999</v>
      </c>
    </row>
    <row r="36" spans="1:16" s="63" customFormat="1" ht="12.75" x14ac:dyDescent="0.2">
      <c r="A36" s="61" t="s">
        <v>27</v>
      </c>
      <c r="B36" s="62">
        <f>B37</f>
        <v>50000</v>
      </c>
      <c r="C36" s="62">
        <f>C37</f>
        <v>50000</v>
      </c>
      <c r="D36" s="62">
        <f t="shared" ref="D36:P36" si="6">D37</f>
        <v>0</v>
      </c>
      <c r="E36" s="62">
        <f t="shared" si="6"/>
        <v>0</v>
      </c>
      <c r="F36" s="62">
        <f t="shared" si="6"/>
        <v>24000</v>
      </c>
      <c r="G36" s="62">
        <f t="shared" si="6"/>
        <v>0</v>
      </c>
      <c r="H36" s="62">
        <f t="shared" si="6"/>
        <v>0</v>
      </c>
      <c r="I36" s="62">
        <f t="shared" si="6"/>
        <v>0</v>
      </c>
      <c r="J36" s="62">
        <f t="shared" si="6"/>
        <v>0</v>
      </c>
      <c r="K36" s="62">
        <f t="shared" si="6"/>
        <v>0</v>
      </c>
      <c r="L36" s="62">
        <f t="shared" si="6"/>
        <v>0</v>
      </c>
      <c r="M36" s="62">
        <f t="shared" si="6"/>
        <v>0</v>
      </c>
      <c r="N36" s="62">
        <f t="shared" si="6"/>
        <v>0</v>
      </c>
      <c r="O36" s="62">
        <f t="shared" si="6"/>
        <v>0</v>
      </c>
      <c r="P36" s="62">
        <f t="shared" si="6"/>
        <v>24000</v>
      </c>
    </row>
    <row r="37" spans="1:16" s="63" customFormat="1" ht="12.75" x14ac:dyDescent="0.2">
      <c r="A37" s="64" t="s">
        <v>28</v>
      </c>
      <c r="B37" s="65">
        <v>50000</v>
      </c>
      <c r="C37" s="65">
        <v>50000</v>
      </c>
      <c r="D37" s="65">
        <v>0</v>
      </c>
      <c r="E37" s="65">
        <v>0</v>
      </c>
      <c r="F37" s="65">
        <v>24000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f>SUM(D37:O37)</f>
        <v>24000</v>
      </c>
    </row>
    <row r="38" spans="1:16" s="63" customFormat="1" ht="25.5" x14ac:dyDescent="0.2">
      <c r="A38" s="67" t="s">
        <v>29</v>
      </c>
      <c r="B38" s="65">
        <v>0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</row>
    <row r="39" spans="1:16" s="63" customFormat="1" ht="25.5" x14ac:dyDescent="0.2">
      <c r="A39" s="67" t="s">
        <v>30</v>
      </c>
      <c r="B39" s="65">
        <v>0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</row>
    <row r="40" spans="1:16" s="63" customFormat="1" ht="25.5" x14ac:dyDescent="0.2">
      <c r="A40" s="67" t="s">
        <v>31</v>
      </c>
      <c r="B40" s="65">
        <v>0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</row>
    <row r="41" spans="1:16" s="63" customFormat="1" ht="25.5" x14ac:dyDescent="0.2">
      <c r="A41" s="67" t="s">
        <v>32</v>
      </c>
      <c r="B41" s="65">
        <v>0</v>
      </c>
      <c r="C41" s="65">
        <v>0</v>
      </c>
      <c r="D41" s="65">
        <v>0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</row>
    <row r="42" spans="1:16" s="63" customFormat="1" ht="12.75" x14ac:dyDescent="0.2">
      <c r="A42" s="67" t="s">
        <v>33</v>
      </c>
      <c r="B42" s="65">
        <v>0</v>
      </c>
      <c r="C42" s="65">
        <v>0</v>
      </c>
      <c r="D42" s="65">
        <v>0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</row>
    <row r="43" spans="1:16" s="63" customFormat="1" ht="12.75" x14ac:dyDescent="0.2">
      <c r="A43" s="67" t="s">
        <v>34</v>
      </c>
      <c r="B43" s="65">
        <v>0</v>
      </c>
      <c r="C43" s="65">
        <v>0</v>
      </c>
      <c r="D43" s="65">
        <v>0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</row>
    <row r="44" spans="1:16" s="63" customFormat="1" ht="25.5" x14ac:dyDescent="0.2">
      <c r="A44" s="67" t="s">
        <v>35</v>
      </c>
      <c r="B44" s="65">
        <v>0</v>
      </c>
      <c r="C44" s="65">
        <v>0</v>
      </c>
      <c r="D44" s="65">
        <v>0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</row>
    <row r="45" spans="1:16" s="63" customFormat="1" ht="12.75" x14ac:dyDescent="0.2">
      <c r="A45" s="61" t="s">
        <v>36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</row>
    <row r="46" spans="1:16" s="63" customFormat="1" ht="12.75" x14ac:dyDescent="0.2">
      <c r="A46" s="67" t="s">
        <v>37</v>
      </c>
      <c r="B46" s="65">
        <v>0</v>
      </c>
      <c r="C46" s="65">
        <v>0</v>
      </c>
      <c r="D46" s="65">
        <v>0</v>
      </c>
      <c r="E46" s="65">
        <v>0</v>
      </c>
      <c r="F46" s="65">
        <v>0</v>
      </c>
      <c r="G46" s="65">
        <v>0</v>
      </c>
      <c r="H46" s="65">
        <v>0</v>
      </c>
      <c r="I46" s="65">
        <v>0</v>
      </c>
      <c r="J46" s="65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</row>
    <row r="47" spans="1:16" s="63" customFormat="1" ht="25.5" x14ac:dyDescent="0.2">
      <c r="A47" s="67" t="s">
        <v>38</v>
      </c>
      <c r="B47" s="65">
        <v>0</v>
      </c>
      <c r="C47" s="65">
        <v>0</v>
      </c>
      <c r="D47" s="65">
        <v>0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</row>
    <row r="48" spans="1:16" s="63" customFormat="1" ht="25.5" x14ac:dyDescent="0.2">
      <c r="A48" s="67" t="s">
        <v>39</v>
      </c>
      <c r="B48" s="65">
        <v>0</v>
      </c>
      <c r="C48" s="65">
        <v>0</v>
      </c>
      <c r="D48" s="65">
        <v>0</v>
      </c>
      <c r="E48" s="65">
        <v>0</v>
      </c>
      <c r="F48" s="65">
        <v>0</v>
      </c>
      <c r="G48" s="65">
        <v>0</v>
      </c>
      <c r="H48" s="65">
        <v>0</v>
      </c>
      <c r="I48" s="65"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</row>
    <row r="49" spans="1:16" s="63" customFormat="1" ht="25.5" x14ac:dyDescent="0.2">
      <c r="A49" s="67" t="s">
        <v>40</v>
      </c>
      <c r="B49" s="65">
        <v>0</v>
      </c>
      <c r="C49" s="65">
        <v>0</v>
      </c>
      <c r="D49" s="65">
        <v>0</v>
      </c>
      <c r="E49" s="65">
        <v>0</v>
      </c>
      <c r="F49" s="65">
        <v>0</v>
      </c>
      <c r="G49" s="65">
        <v>0</v>
      </c>
      <c r="H49" s="65">
        <v>0</v>
      </c>
      <c r="I49" s="65"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</row>
    <row r="50" spans="1:16" s="63" customFormat="1" ht="12.75" x14ac:dyDescent="0.2">
      <c r="A50" s="67" t="s">
        <v>41</v>
      </c>
      <c r="B50" s="65">
        <v>0</v>
      </c>
      <c r="C50" s="65">
        <v>0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</row>
    <row r="51" spans="1:16" s="63" customFormat="1" ht="25.5" x14ac:dyDescent="0.2">
      <c r="A51" s="67" t="s">
        <v>42</v>
      </c>
      <c r="B51" s="65">
        <v>0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</row>
    <row r="52" spans="1:16" s="63" customFormat="1" ht="12.75" x14ac:dyDescent="0.2">
      <c r="A52" s="61" t="s">
        <v>43</v>
      </c>
      <c r="B52" s="62">
        <f>B53+B56+B57</f>
        <v>1000000</v>
      </c>
      <c r="C52" s="62">
        <f>C53+C56+C57+C54+C60</f>
        <v>1347500</v>
      </c>
      <c r="D52" s="62">
        <f>D53+D56+D57</f>
        <v>0</v>
      </c>
      <c r="E52" s="62">
        <f>E53+E56+E57</f>
        <v>0</v>
      </c>
      <c r="F52" s="62">
        <f>F53+F56+F57+F60</f>
        <v>842496.34</v>
      </c>
      <c r="G52" s="62">
        <f>G53+G56+G57</f>
        <v>0</v>
      </c>
      <c r="H52" s="62">
        <f>H54+H53</f>
        <v>24721</v>
      </c>
      <c r="I52" s="62">
        <f t="shared" ref="I52:M52" si="7">I53+I56+I57</f>
        <v>78242.290000000008</v>
      </c>
      <c r="J52" s="62">
        <f t="shared" si="7"/>
        <v>0</v>
      </c>
      <c r="K52" s="62">
        <f t="shared" si="7"/>
        <v>118631.54</v>
      </c>
      <c r="L52" s="62">
        <f>L53+L56+L57+L54</f>
        <v>0</v>
      </c>
      <c r="M52" s="62">
        <f t="shared" si="7"/>
        <v>177343.5</v>
      </c>
      <c r="N52" s="62">
        <f>N53+N56+N57+N54+N60</f>
        <v>0</v>
      </c>
      <c r="O52" s="62">
        <f>O53+O56+O57+O54</f>
        <v>0</v>
      </c>
      <c r="P52" s="62">
        <f>SUM(D52:O52)</f>
        <v>1241434.67</v>
      </c>
    </row>
    <row r="53" spans="1:16" s="63" customFormat="1" ht="12.75" x14ac:dyDescent="0.2">
      <c r="A53" s="64" t="s">
        <v>44</v>
      </c>
      <c r="B53" s="65">
        <v>650000</v>
      </c>
      <c r="C53" s="65">
        <v>1280000</v>
      </c>
      <c r="D53" s="65">
        <v>0</v>
      </c>
      <c r="E53" s="65">
        <v>0</v>
      </c>
      <c r="F53" s="65">
        <v>802496.34</v>
      </c>
      <c r="G53" s="65">
        <v>0</v>
      </c>
      <c r="H53" s="65">
        <v>24721</v>
      </c>
      <c r="I53" s="65">
        <v>76934.3</v>
      </c>
      <c r="J53" s="65">
        <v>0</v>
      </c>
      <c r="K53" s="65">
        <v>103291.54</v>
      </c>
      <c r="L53" s="65">
        <v>0</v>
      </c>
      <c r="M53" s="65">
        <f>138138+39205.5</f>
        <v>177343.5</v>
      </c>
      <c r="N53" s="65">
        <v>0</v>
      </c>
      <c r="O53" s="65">
        <v>0</v>
      </c>
      <c r="P53" s="65">
        <f>SUM(D53:O53)</f>
        <v>1184786.6800000002</v>
      </c>
    </row>
    <row r="54" spans="1:16" s="63" customFormat="1" ht="25.5" x14ac:dyDescent="0.2">
      <c r="A54" s="67" t="s">
        <v>45</v>
      </c>
      <c r="B54" s="65">
        <v>0</v>
      </c>
      <c r="C54" s="65">
        <v>0</v>
      </c>
      <c r="D54" s="65">
        <v>0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f>SUM(D54:O54)</f>
        <v>0</v>
      </c>
    </row>
    <row r="55" spans="1:16" s="63" customFormat="1" ht="12.75" x14ac:dyDescent="0.2">
      <c r="A55" s="67" t="s">
        <v>46</v>
      </c>
      <c r="B55" s="65">
        <v>0</v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f t="shared" ref="P55:P57" si="8">SUM(D55:O55)</f>
        <v>0</v>
      </c>
    </row>
    <row r="56" spans="1:16" s="63" customFormat="1" ht="25.5" x14ac:dyDescent="0.2">
      <c r="A56" s="67" t="s">
        <v>47</v>
      </c>
      <c r="B56" s="65">
        <v>0</v>
      </c>
      <c r="C56" s="65">
        <v>0</v>
      </c>
      <c r="D56" s="65">
        <v>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f t="shared" si="8"/>
        <v>0</v>
      </c>
    </row>
    <row r="57" spans="1:16" s="63" customFormat="1" ht="12.75" x14ac:dyDescent="0.2">
      <c r="A57" s="67" t="s">
        <v>48</v>
      </c>
      <c r="B57" s="65">
        <v>350000</v>
      </c>
      <c r="C57" s="65">
        <v>27500</v>
      </c>
      <c r="D57" s="65">
        <v>0</v>
      </c>
      <c r="E57" s="65">
        <v>0</v>
      </c>
      <c r="F57" s="65">
        <v>0</v>
      </c>
      <c r="G57" s="65">
        <v>0</v>
      </c>
      <c r="H57" s="65">
        <v>0</v>
      </c>
      <c r="I57" s="65">
        <v>1307.99</v>
      </c>
      <c r="J57" s="65">
        <v>0</v>
      </c>
      <c r="K57" s="65">
        <v>15340</v>
      </c>
      <c r="L57" s="65">
        <v>0</v>
      </c>
      <c r="M57" s="65">
        <v>0</v>
      </c>
      <c r="N57" s="65">
        <v>0</v>
      </c>
      <c r="O57" s="65">
        <v>0</v>
      </c>
      <c r="P57" s="65">
        <f t="shared" si="8"/>
        <v>16647.990000000002</v>
      </c>
    </row>
    <row r="58" spans="1:16" s="63" customFormat="1" ht="12.75" x14ac:dyDescent="0.2">
      <c r="A58" s="67" t="s">
        <v>49</v>
      </c>
      <c r="B58" s="65">
        <v>0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</row>
    <row r="59" spans="1:16" s="63" customFormat="1" ht="12.75" x14ac:dyDescent="0.2">
      <c r="A59" s="67" t="s">
        <v>50</v>
      </c>
      <c r="B59" s="65">
        <v>0</v>
      </c>
      <c r="C59" s="65">
        <v>0</v>
      </c>
      <c r="D59" s="65">
        <v>0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</row>
    <row r="60" spans="1:16" s="63" customFormat="1" ht="12.75" x14ac:dyDescent="0.2">
      <c r="A60" s="67" t="s">
        <v>51</v>
      </c>
      <c r="B60" s="65">
        <v>0</v>
      </c>
      <c r="C60" s="65">
        <v>40000</v>
      </c>
      <c r="D60" s="65">
        <v>0</v>
      </c>
      <c r="E60" s="65">
        <v>0</v>
      </c>
      <c r="F60" s="65">
        <v>40000</v>
      </c>
      <c r="G60" s="65">
        <v>0</v>
      </c>
      <c r="H60" s="65">
        <v>0</v>
      </c>
      <c r="I60" s="65">
        <v>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f>SUM(D60:O60)</f>
        <v>40000</v>
      </c>
    </row>
    <row r="61" spans="1:16" s="63" customFormat="1" ht="25.5" x14ac:dyDescent="0.2">
      <c r="A61" s="67" t="s">
        <v>52</v>
      </c>
      <c r="B61" s="65">
        <v>0</v>
      </c>
      <c r="C61" s="65">
        <v>0</v>
      </c>
      <c r="D61" s="65">
        <v>0</v>
      </c>
      <c r="E61" s="65">
        <v>0</v>
      </c>
      <c r="F61" s="65">
        <v>0</v>
      </c>
      <c r="G61" s="65">
        <v>0</v>
      </c>
      <c r="H61" s="65">
        <v>0</v>
      </c>
      <c r="I61" s="65">
        <v>0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0</v>
      </c>
      <c r="P61" s="65">
        <v>0</v>
      </c>
    </row>
    <row r="62" spans="1:16" s="63" customFormat="1" ht="12.75" x14ac:dyDescent="0.2">
      <c r="A62" s="61" t="s">
        <v>53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1:16" s="63" customFormat="1" ht="12.75" x14ac:dyDescent="0.2">
      <c r="A63" s="64" t="s">
        <v>54</v>
      </c>
      <c r="B63" s="65">
        <v>0</v>
      </c>
      <c r="C63" s="65">
        <v>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65">
        <v>0</v>
      </c>
      <c r="P63" s="65">
        <v>0</v>
      </c>
    </row>
    <row r="64" spans="1:16" s="63" customFormat="1" ht="12.75" x14ac:dyDescent="0.2">
      <c r="A64" s="64" t="s">
        <v>55</v>
      </c>
      <c r="B64" s="65">
        <v>0</v>
      </c>
      <c r="C64" s="65">
        <v>0</v>
      </c>
      <c r="D64" s="65">
        <v>0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</row>
    <row r="65" spans="1:16" s="63" customFormat="1" ht="12.75" x14ac:dyDescent="0.2">
      <c r="A65" s="64" t="s">
        <v>56</v>
      </c>
      <c r="B65" s="65">
        <v>0</v>
      </c>
      <c r="C65" s="65">
        <v>0</v>
      </c>
      <c r="D65" s="65">
        <v>0</v>
      </c>
      <c r="E65" s="65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0</v>
      </c>
    </row>
    <row r="66" spans="1:16" s="63" customFormat="1" ht="25.5" x14ac:dyDescent="0.2">
      <c r="A66" s="67" t="s">
        <v>57</v>
      </c>
      <c r="B66" s="65">
        <v>0</v>
      </c>
      <c r="C66" s="65">
        <v>0</v>
      </c>
      <c r="D66" s="65">
        <v>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65">
        <v>0</v>
      </c>
      <c r="P66" s="65">
        <v>0</v>
      </c>
    </row>
    <row r="67" spans="1:16" s="63" customFormat="1" ht="12.75" x14ac:dyDescent="0.2">
      <c r="A67" s="61" t="s">
        <v>58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s="63" customFormat="1" ht="12.75" x14ac:dyDescent="0.2">
      <c r="A68" s="64" t="s">
        <v>59</v>
      </c>
      <c r="B68" s="65">
        <v>0</v>
      </c>
      <c r="C68" s="65">
        <v>0</v>
      </c>
      <c r="D68" s="65">
        <v>0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</v>
      </c>
      <c r="N68" s="65">
        <v>0</v>
      </c>
      <c r="O68" s="65">
        <v>0</v>
      </c>
      <c r="P68" s="65">
        <v>0</v>
      </c>
    </row>
    <row r="69" spans="1:16" s="63" customFormat="1" ht="25.5" x14ac:dyDescent="0.2">
      <c r="A69" s="67" t="s">
        <v>60</v>
      </c>
      <c r="B69" s="65">
        <v>0</v>
      </c>
      <c r="C69" s="65">
        <v>0</v>
      </c>
      <c r="D69" s="65">
        <v>0</v>
      </c>
      <c r="E69" s="65">
        <v>0</v>
      </c>
      <c r="F69" s="65">
        <v>0</v>
      </c>
      <c r="G69" s="65">
        <v>0</v>
      </c>
      <c r="H69" s="65">
        <v>0</v>
      </c>
      <c r="I69" s="65">
        <v>0</v>
      </c>
      <c r="J69" s="65">
        <v>0</v>
      </c>
      <c r="K69" s="65">
        <v>0</v>
      </c>
      <c r="L69" s="65">
        <v>0</v>
      </c>
      <c r="M69" s="65">
        <v>0</v>
      </c>
      <c r="N69" s="65">
        <v>0</v>
      </c>
      <c r="O69" s="65">
        <v>0</v>
      </c>
      <c r="P69" s="65">
        <v>0</v>
      </c>
    </row>
    <row r="70" spans="1:16" s="63" customFormat="1" ht="12.75" x14ac:dyDescent="0.2">
      <c r="A70" s="61" t="s">
        <v>61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s="63" customFormat="1" ht="12.75" x14ac:dyDescent="0.2">
      <c r="A71" s="67" t="s">
        <v>62</v>
      </c>
      <c r="B71" s="65">
        <v>0</v>
      </c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</row>
    <row r="72" spans="1:16" s="63" customFormat="1" ht="12.75" x14ac:dyDescent="0.2">
      <c r="A72" s="67" t="s">
        <v>63</v>
      </c>
      <c r="B72" s="65">
        <v>0</v>
      </c>
      <c r="C72" s="65">
        <v>0</v>
      </c>
      <c r="D72" s="65">
        <v>0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5">
        <v>0</v>
      </c>
    </row>
    <row r="73" spans="1:16" s="63" customFormat="1" ht="25.5" x14ac:dyDescent="0.2">
      <c r="A73" s="67" t="s">
        <v>64</v>
      </c>
      <c r="B73" s="65">
        <v>0</v>
      </c>
      <c r="C73" s="65">
        <v>0</v>
      </c>
      <c r="D73" s="65">
        <v>0</v>
      </c>
      <c r="E73" s="65">
        <v>0</v>
      </c>
      <c r="F73" s="65">
        <v>0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0</v>
      </c>
      <c r="P73" s="65">
        <v>0</v>
      </c>
    </row>
    <row r="74" spans="1:16" s="63" customFormat="1" ht="12.75" x14ac:dyDescent="0.2">
      <c r="A74" s="68" t="s">
        <v>67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</row>
    <row r="75" spans="1:16" s="63" customFormat="1" ht="12.75" x14ac:dyDescent="0.2">
      <c r="A75" s="61" t="s">
        <v>68</v>
      </c>
      <c r="B75" s="62"/>
      <c r="C75" s="62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</row>
    <row r="76" spans="1:16" s="63" customFormat="1" ht="12.75" x14ac:dyDescent="0.2">
      <c r="A76" s="67" t="s">
        <v>69</v>
      </c>
      <c r="B76" s="65">
        <v>0</v>
      </c>
      <c r="C76" s="65">
        <v>0</v>
      </c>
      <c r="D76" s="65">
        <v>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0</v>
      </c>
      <c r="P76" s="65">
        <v>0</v>
      </c>
    </row>
    <row r="77" spans="1:16" s="63" customFormat="1" ht="12.75" x14ac:dyDescent="0.2">
      <c r="A77" s="67" t="s">
        <v>70</v>
      </c>
      <c r="B77" s="65">
        <v>0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0</v>
      </c>
      <c r="N77" s="65">
        <v>0</v>
      </c>
      <c r="O77" s="65">
        <v>0</v>
      </c>
      <c r="P77" s="65">
        <v>0</v>
      </c>
    </row>
    <row r="78" spans="1:16" s="63" customFormat="1" ht="12.75" x14ac:dyDescent="0.2">
      <c r="A78" s="61" t="s">
        <v>71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s="63" customFormat="1" ht="12.75" x14ac:dyDescent="0.2">
      <c r="A79" s="64" t="s">
        <v>72</v>
      </c>
      <c r="B79" s="65">
        <v>0</v>
      </c>
      <c r="C79" s="65">
        <v>0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</row>
    <row r="80" spans="1:16" s="63" customFormat="1" ht="12.75" x14ac:dyDescent="0.2">
      <c r="A80" s="64" t="s">
        <v>73</v>
      </c>
      <c r="B80" s="65">
        <v>0</v>
      </c>
      <c r="C80" s="65">
        <v>0</v>
      </c>
      <c r="D80" s="65">
        <v>0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5">
        <v>0</v>
      </c>
    </row>
    <row r="81" spans="1:16" s="63" customFormat="1" ht="12.75" x14ac:dyDescent="0.2">
      <c r="A81" s="61" t="s">
        <v>74</v>
      </c>
      <c r="B81" s="62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</row>
    <row r="82" spans="1:16" s="63" customFormat="1" ht="12.75" x14ac:dyDescent="0.2">
      <c r="A82" s="64" t="s">
        <v>75</v>
      </c>
      <c r="B82" s="65">
        <v>0</v>
      </c>
      <c r="C82" s="65">
        <v>0</v>
      </c>
      <c r="D82" s="65">
        <v>0</v>
      </c>
      <c r="E82" s="65">
        <v>0</v>
      </c>
      <c r="F82" s="65">
        <v>0</v>
      </c>
      <c r="G82" s="65">
        <v>0</v>
      </c>
      <c r="H82" s="65">
        <v>0</v>
      </c>
      <c r="I82" s="65">
        <v>0</v>
      </c>
      <c r="J82" s="65">
        <v>0</v>
      </c>
      <c r="K82" s="65">
        <v>0</v>
      </c>
      <c r="L82" s="65">
        <v>0</v>
      </c>
      <c r="M82" s="65">
        <v>0</v>
      </c>
      <c r="N82" s="65">
        <v>0</v>
      </c>
      <c r="O82" s="65">
        <v>0</v>
      </c>
      <c r="P82" s="65">
        <v>0</v>
      </c>
    </row>
    <row r="83" spans="1:16" ht="20.25" customHeight="1" x14ac:dyDescent="0.25">
      <c r="A83" s="9" t="s">
        <v>65</v>
      </c>
      <c r="B83" s="27">
        <f>B52+B36+B26+B16+B10</f>
        <v>311699277</v>
      </c>
      <c r="C83" s="27">
        <f>C52+C36+C26+C16+C10</f>
        <v>335844294.10000002</v>
      </c>
      <c r="D83" s="27">
        <f t="shared" ref="D83:P83" si="9">D52+D36+D26+D16+D10</f>
        <v>19181413.640000001</v>
      </c>
      <c r="E83" s="27">
        <f t="shared" si="9"/>
        <v>19650295.649999999</v>
      </c>
      <c r="F83" s="27">
        <f t="shared" si="9"/>
        <v>23135808.469999999</v>
      </c>
      <c r="G83" s="27">
        <f t="shared" si="9"/>
        <v>32521576.899999999</v>
      </c>
      <c r="H83" s="27">
        <f t="shared" si="9"/>
        <v>19743243.73</v>
      </c>
      <c r="I83" s="27">
        <f t="shared" si="9"/>
        <v>27331415.18</v>
      </c>
      <c r="J83" s="27">
        <f t="shared" si="9"/>
        <v>21207148.729999997</v>
      </c>
      <c r="K83" s="27">
        <f t="shared" si="9"/>
        <v>22865481.84</v>
      </c>
      <c r="L83" s="27">
        <f t="shared" si="9"/>
        <v>21839522.75</v>
      </c>
      <c r="M83" s="27">
        <f t="shared" si="9"/>
        <v>36428303.57</v>
      </c>
      <c r="N83" s="27">
        <f t="shared" si="9"/>
        <v>0</v>
      </c>
      <c r="O83" s="27">
        <f t="shared" si="9"/>
        <v>0</v>
      </c>
      <c r="P83" s="27">
        <f t="shared" si="9"/>
        <v>243904210.45999995</v>
      </c>
    </row>
    <row r="84" spans="1:16" ht="18.75" customHeight="1" x14ac:dyDescent="0.25">
      <c r="A84" s="37" t="s">
        <v>111</v>
      </c>
      <c r="B84" s="38"/>
    </row>
    <row r="85" spans="1:16" ht="18.75" x14ac:dyDescent="0.3">
      <c r="A85" s="30"/>
      <c r="B85" s="30" t="s">
        <v>101</v>
      </c>
      <c r="C85" s="29"/>
      <c r="D85" s="29"/>
      <c r="E85" s="29"/>
      <c r="F85" s="30" t="s">
        <v>102</v>
      </c>
      <c r="H85" s="31"/>
      <c r="J85" s="32"/>
      <c r="K85" s="29"/>
    </row>
    <row r="86" spans="1:16" ht="29.25" customHeight="1" x14ac:dyDescent="0.3">
      <c r="A86" s="33"/>
      <c r="B86" s="33" t="s">
        <v>103</v>
      </c>
      <c r="C86" s="31"/>
      <c r="D86" s="29"/>
      <c r="E86" s="29"/>
      <c r="F86" s="33" t="s">
        <v>103</v>
      </c>
      <c r="H86" s="33"/>
      <c r="I86" s="29"/>
      <c r="J86" s="29"/>
      <c r="K86" s="29"/>
    </row>
    <row r="87" spans="1:16" ht="18.75" x14ac:dyDescent="0.3">
      <c r="A87" s="31"/>
      <c r="B87" s="31" t="s">
        <v>104</v>
      </c>
      <c r="C87" s="31"/>
      <c r="D87" s="29"/>
      <c r="E87" s="29"/>
      <c r="F87" s="31" t="s">
        <v>105</v>
      </c>
      <c r="G87" s="48" t="s">
        <v>112</v>
      </c>
      <c r="H87" s="48"/>
      <c r="I87" s="48"/>
      <c r="J87" s="48"/>
      <c r="K87" s="29"/>
    </row>
    <row r="88" spans="1:16" s="60" customFormat="1" ht="18.75" x14ac:dyDescent="0.3">
      <c r="A88" s="30"/>
      <c r="B88" s="30" t="s">
        <v>106</v>
      </c>
      <c r="C88" s="30"/>
      <c r="D88" s="29"/>
      <c r="E88" s="29"/>
      <c r="F88" s="30" t="s">
        <v>107</v>
      </c>
      <c r="H88" s="30"/>
      <c r="I88" s="29"/>
      <c r="J88" s="29"/>
      <c r="K88" s="29"/>
    </row>
    <row r="89" spans="1:16" ht="18.75" x14ac:dyDescent="0.3">
      <c r="D89" s="29"/>
      <c r="E89" s="29"/>
      <c r="F89" s="29"/>
      <c r="H89" s="29"/>
      <c r="I89" s="29"/>
      <c r="J89" s="29"/>
      <c r="K89" s="29"/>
    </row>
    <row r="90" spans="1:16" ht="18.75" x14ac:dyDescent="0.25">
      <c r="B90" s="31"/>
    </row>
  </sheetData>
  <mergeCells count="10">
    <mergeCell ref="G87:J87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370078741" bottom="0.35433070866141736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5" zoomScaleNormal="100" workbookViewId="0">
      <selection activeCell="K87" sqref="K8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4" t="s">
        <v>87</v>
      </c>
      <c r="K8" s="34" t="s">
        <v>88</v>
      </c>
      <c r="L8" s="34" t="s">
        <v>89</v>
      </c>
      <c r="M8" s="34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14413861.949999999</v>
      </c>
      <c r="K10" s="25">
        <f t="shared" si="0"/>
        <v>26646651.669999998</v>
      </c>
      <c r="L10" s="25">
        <f t="shared" si="0"/>
        <v>0</v>
      </c>
      <c r="M10" s="25">
        <f t="shared" si="0"/>
        <v>0</v>
      </c>
      <c r="N10" s="25">
        <f>SUM(B10:M10)</f>
        <v>170960679.38999996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12300509.1</v>
      </c>
      <c r="K11" s="24">
        <v>24519328.829999998</v>
      </c>
      <c r="L11" s="24">
        <v>0</v>
      </c>
      <c r="M11" s="24">
        <v>0</v>
      </c>
      <c r="N11" s="24">
        <f>SUM(B11:M11)</f>
        <v>149475230.95999998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0</v>
      </c>
      <c r="M12" s="24">
        <v>0</v>
      </c>
      <c r="N12" s="24">
        <f>SUM(B12:M12)</f>
        <v>3287000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1779852.85</v>
      </c>
      <c r="K15" s="24">
        <v>1793822.84</v>
      </c>
      <c r="L15" s="24">
        <v>0</v>
      </c>
      <c r="M15" s="24">
        <v>0</v>
      </c>
      <c r="N15" s="24">
        <f>SUM(B15:M15)</f>
        <v>18198448.43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6198859.5</v>
      </c>
      <c r="K16" s="25">
        <f t="shared" ref="K16" si="2">K17+K18+K19+K20+K21+K22+K23+K24</f>
        <v>8760078.4000000004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62053076.370000005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2211523.48</v>
      </c>
      <c r="K17" s="24">
        <v>2119783.59</v>
      </c>
      <c r="L17" s="24">
        <v>0</v>
      </c>
      <c r="M17" s="24">
        <v>0</v>
      </c>
      <c r="N17" s="24">
        <f>SUM(B17:M17)</f>
        <v>23527892.809999999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14876.26</v>
      </c>
      <c r="K18" s="24">
        <v>0</v>
      </c>
      <c r="L18" s="24">
        <v>0</v>
      </c>
      <c r="M18" s="24">
        <v>0</v>
      </c>
      <c r="N18" s="24">
        <f t="shared" ref="N18:N23" si="3">SUM(B18:M18)</f>
        <v>33316.26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501507.5</v>
      </c>
      <c r="K19" s="24">
        <v>2952235.51</v>
      </c>
      <c r="L19" s="24">
        <v>0</v>
      </c>
      <c r="M19" s="24">
        <v>0</v>
      </c>
      <c r="N19" s="24">
        <f t="shared" si="3"/>
        <v>4510248.01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85010.240000000005</v>
      </c>
      <c r="K20" s="24">
        <v>0</v>
      </c>
      <c r="L20" s="24">
        <v>0</v>
      </c>
      <c r="M20" s="24">
        <v>0</v>
      </c>
      <c r="N20" s="24">
        <f t="shared" si="3"/>
        <v>224010.23999999999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1254532.27</v>
      </c>
      <c r="K21" s="24">
        <v>2101477.34</v>
      </c>
      <c r="L21" s="24">
        <v>0</v>
      </c>
      <c r="M21" s="24">
        <v>0</v>
      </c>
      <c r="N21" s="24">
        <f t="shared" si="3"/>
        <v>15354141.6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1231530.01</v>
      </c>
      <c r="K22" s="24">
        <v>1398967.97</v>
      </c>
      <c r="L22" s="24">
        <v>0</v>
      </c>
      <c r="M22" s="24">
        <v>0</v>
      </c>
      <c r="N22" s="24">
        <f t="shared" si="3"/>
        <v>12943790.52</v>
      </c>
    </row>
    <row r="23" spans="1:14" ht="27" customHeight="1" x14ac:dyDescent="0.25">
      <c r="A23" s="28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601564.30000000005</v>
      </c>
      <c r="K23" s="24">
        <v>161364</v>
      </c>
      <c r="L23" s="24">
        <v>0</v>
      </c>
      <c r="M23" s="24">
        <v>0</v>
      </c>
      <c r="N23" s="24">
        <f t="shared" si="3"/>
        <v>2191714.7000000002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86836.32</v>
      </c>
      <c r="K24" s="24">
        <v>26249.99</v>
      </c>
      <c r="L24" s="24">
        <v>0</v>
      </c>
      <c r="M24" s="24">
        <v>0</v>
      </c>
      <c r="N24" s="24">
        <f>SUM(B24:M24)</f>
        <v>1009400.02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211479.12</v>
      </c>
      <c r="K25" s="24">
        <v>218496.31</v>
      </c>
      <c r="L25" s="24">
        <v>0</v>
      </c>
      <c r="M25" s="24">
        <v>0</v>
      </c>
      <c r="N25" s="24">
        <f>SUM(B25:M25)</f>
        <v>2258562.21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1226801.3</v>
      </c>
      <c r="K26" s="25">
        <f t="shared" si="4"/>
        <v>625733.68999999994</v>
      </c>
      <c r="L26" s="25">
        <f t="shared" si="4"/>
        <v>0</v>
      </c>
      <c r="M26" s="25">
        <f t="shared" si="4"/>
        <v>0</v>
      </c>
      <c r="N26" s="25">
        <f t="shared" si="4"/>
        <v>9625020.0299999993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191111.62</v>
      </c>
      <c r="K27" s="24">
        <v>9840</v>
      </c>
      <c r="L27" s="24">
        <v>0</v>
      </c>
      <c r="M27" s="24">
        <v>0</v>
      </c>
      <c r="N27" s="24">
        <f t="shared" ref="N27:N37" si="5">SUM(B27:M27)</f>
        <v>514354.36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777.9</v>
      </c>
      <c r="K28" s="24">
        <v>0</v>
      </c>
      <c r="L28" s="24">
        <v>0</v>
      </c>
      <c r="M28" s="24">
        <v>0</v>
      </c>
      <c r="N28" s="24">
        <f t="shared" si="5"/>
        <v>113708.48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252157.83</v>
      </c>
      <c r="K29" s="24">
        <v>19617.5</v>
      </c>
      <c r="L29" s="24">
        <v>0</v>
      </c>
      <c r="M29" s="24">
        <v>0</v>
      </c>
      <c r="N29" s="24">
        <f t="shared" si="5"/>
        <v>388986.73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14750.72</v>
      </c>
      <c r="K31" s="24">
        <v>0</v>
      </c>
      <c r="L31" s="24">
        <v>0</v>
      </c>
      <c r="M31" s="24">
        <v>0</v>
      </c>
      <c r="N31" s="24">
        <f t="shared" si="5"/>
        <v>162537.46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30719.26</v>
      </c>
      <c r="K32" s="24">
        <v>1534</v>
      </c>
      <c r="L32" s="24">
        <v>0</v>
      </c>
      <c r="M32" s="24">
        <v>0</v>
      </c>
      <c r="N32" s="24">
        <f t="shared" si="5"/>
        <v>167196.98000000001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486175.53</v>
      </c>
      <c r="K33" s="24">
        <v>484500</v>
      </c>
      <c r="L33" s="24">
        <v>0</v>
      </c>
      <c r="M33" s="24">
        <v>0</v>
      </c>
      <c r="N33" s="24">
        <f t="shared" si="5"/>
        <v>7063453.4199999999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251108.44</v>
      </c>
      <c r="K35" s="24">
        <v>110242.19</v>
      </c>
      <c r="L35" s="24">
        <v>0</v>
      </c>
      <c r="M35" s="24">
        <v>0</v>
      </c>
      <c r="N35" s="24">
        <f t="shared" si="5"/>
        <v>1214782.5999999999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177343.5</v>
      </c>
      <c r="L52" s="25">
        <f>L55+L60</f>
        <v>0</v>
      </c>
      <c r="M52" s="25">
        <f>M53+M54+M57</f>
        <v>0</v>
      </c>
      <c r="N52" s="25">
        <f t="shared" ref="N52:N57" si="8">SUM(B52:M52)</f>
        <v>1241434.67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177343.5</v>
      </c>
      <c r="L53" s="24">
        <v>0</v>
      </c>
      <c r="M53" s="24">
        <v>0</v>
      </c>
      <c r="N53" s="24">
        <f t="shared" si="8"/>
        <v>1184786.6800000002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16647.990000000002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21839522.75</v>
      </c>
      <c r="K83" s="26">
        <f>K52+K16+K10+K26</f>
        <v>36209807.259999998</v>
      </c>
      <c r="L83" s="26">
        <f>L52+L16+L10+L26</f>
        <v>0</v>
      </c>
      <c r="M83" s="26">
        <f>M10+M16+M52+M26</f>
        <v>0</v>
      </c>
      <c r="N83" s="26">
        <f>N52+N26+N16+N10+N36</f>
        <v>243904210.45999998</v>
      </c>
    </row>
    <row r="84" spans="1:14" x14ac:dyDescent="0.25">
      <c r="A84" s="37" t="s">
        <v>111</v>
      </c>
    </row>
    <row r="85" spans="1:14" x14ac:dyDescent="0.25">
      <c r="A85" s="36"/>
    </row>
    <row r="86" spans="1:14" ht="18.75" x14ac:dyDescent="0.3">
      <c r="A86" s="30" t="s">
        <v>101</v>
      </c>
      <c r="B86" s="29"/>
      <c r="C86" s="29"/>
      <c r="D86" s="29"/>
      <c r="E86" s="30" t="s">
        <v>102</v>
      </c>
      <c r="G86" s="31"/>
      <c r="I86" s="32"/>
      <c r="J86" s="29"/>
    </row>
    <row r="87" spans="1:14" ht="47.25" customHeight="1" x14ac:dyDescent="0.3">
      <c r="A87" s="33" t="s">
        <v>103</v>
      </c>
      <c r="B87" s="31"/>
      <c r="C87" s="29"/>
      <c r="D87" s="29"/>
      <c r="E87" s="33" t="s">
        <v>103</v>
      </c>
      <c r="G87" s="33"/>
      <c r="H87" s="29"/>
      <c r="I87" s="29"/>
      <c r="J87" s="29"/>
    </row>
    <row r="88" spans="1:14" ht="18.75" x14ac:dyDescent="0.3">
      <c r="A88" s="31" t="s">
        <v>104</v>
      </c>
      <c r="B88" s="31"/>
      <c r="C88" s="29"/>
      <c r="D88" s="29"/>
      <c r="E88" s="31" t="s">
        <v>108</v>
      </c>
      <c r="F88" s="35"/>
      <c r="G88" s="39" t="s">
        <v>112</v>
      </c>
      <c r="H88" s="35"/>
      <c r="I88" s="35"/>
      <c r="J88" s="29"/>
    </row>
    <row r="89" spans="1:14" ht="18.75" x14ac:dyDescent="0.3">
      <c r="A89" s="31" t="s">
        <v>106</v>
      </c>
      <c r="B89" s="31"/>
      <c r="C89" s="29"/>
      <c r="D89" s="29"/>
      <c r="E89" s="31" t="s">
        <v>109</v>
      </c>
      <c r="G89" s="31"/>
      <c r="H89" s="29"/>
      <c r="I89" s="29"/>
      <c r="J89" s="29"/>
    </row>
    <row r="90" spans="1:14" ht="18.75" x14ac:dyDescent="0.3">
      <c r="C90" s="29"/>
      <c r="D90" s="29"/>
      <c r="E90" s="29"/>
      <c r="G90" s="29"/>
      <c r="H90" s="29"/>
      <c r="I90" s="29"/>
      <c r="J90" s="29"/>
    </row>
    <row r="91" spans="1:14" ht="18.75" x14ac:dyDescent="0.25">
      <c r="A91" s="31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1" ma:contentTypeDescription="Crear nuevo documento." ma:contentTypeScope="" ma:versionID="12f8495708250072efecb87535a40984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2c21e66a2f043a8bc5830020d34e70d0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Props1.xml><?xml version="1.0" encoding="utf-8"?>
<ds:datastoreItem xmlns:ds="http://schemas.openxmlformats.org/officeDocument/2006/customXml" ds:itemID="{0974EC86-1A3A-4843-B150-822DB7567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0A0FA7-01AD-4E5B-A59B-55980F67CF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D78F5-F907-4E46-8E78-CD7624600E8B}">
  <ds:schemaRefs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2025-11-05T17:05:13Z</cp:lastPrinted>
  <dcterms:created xsi:type="dcterms:W3CDTF">2021-07-29T18:58:50Z</dcterms:created>
  <dcterms:modified xsi:type="dcterms:W3CDTF">2025-11-05T17:07:02Z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