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xr:revisionPtr revIDLastSave="0" documentId="8_{8B7C61A8-B112-41EE-9D44-3BF6C9A3B1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2" l="1"/>
  <c r="L35" i="2"/>
  <c r="L34" i="2"/>
  <c r="L33" i="2"/>
  <c r="L26" i="2"/>
  <c r="L25" i="2"/>
  <c r="L24" i="2"/>
  <c r="L23" i="2"/>
  <c r="L22" i="2"/>
  <c r="L19" i="2"/>
  <c r="L13" i="2"/>
  <c r="L17" i="2"/>
  <c r="I52" i="3"/>
  <c r="K37" i="2"/>
  <c r="K35" i="2"/>
  <c r="K34" i="2"/>
  <c r="K26" i="2"/>
  <c r="K25" i="2"/>
  <c r="K23" i="2"/>
  <c r="K19" i="2"/>
  <c r="K13" i="2"/>
  <c r="K17" i="2"/>
  <c r="I27" i="2"/>
  <c r="J37" i="2"/>
  <c r="J26" i="2"/>
  <c r="J23" i="2"/>
  <c r="J19" i="2"/>
  <c r="J17" i="2"/>
  <c r="I37" i="2"/>
  <c r="I35" i="2"/>
  <c r="I34" i="2"/>
  <c r="I23" i="2"/>
  <c r="I19" i="2"/>
  <c r="I13" i="2"/>
  <c r="I17" i="2"/>
  <c r="H37" i="2" l="1"/>
  <c r="H35" i="2"/>
  <c r="H34" i="2"/>
  <c r="H23" i="2"/>
  <c r="H18" i="2" s="1"/>
  <c r="H26" i="2"/>
  <c r="H24" i="2"/>
  <c r="H19" i="2"/>
  <c r="H13" i="2"/>
  <c r="H17" i="2"/>
  <c r="E16" i="3"/>
  <c r="E21" i="3"/>
  <c r="G37" i="2" l="1"/>
  <c r="G26" i="2"/>
  <c r="G24" i="2"/>
  <c r="G19" i="2"/>
  <c r="G17" i="2"/>
  <c r="P62" i="2" l="1"/>
  <c r="F54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6" i="2"/>
  <c r="E19" i="2" l="1"/>
  <c r="E17" i="2"/>
  <c r="E13" i="2"/>
  <c r="D19" i="2"/>
  <c r="D13" i="2"/>
  <c r="D17" i="2"/>
  <c r="E54" i="1"/>
  <c r="L16" i="3" l="1"/>
  <c r="L52" i="3"/>
  <c r="N55" i="3"/>
  <c r="N61" i="3"/>
  <c r="N60" i="3"/>
  <c r="N59" i="3"/>
  <c r="N58" i="3"/>
  <c r="N54" i="2"/>
  <c r="N18" i="2"/>
  <c r="J52" i="3"/>
  <c r="J26" i="3"/>
  <c r="J16" i="3"/>
  <c r="L54" i="2"/>
  <c r="L18" i="2"/>
  <c r="C54" i="2"/>
  <c r="G16" i="3"/>
  <c r="G52" i="3"/>
  <c r="I18" i="2"/>
  <c r="G26" i="3" l="1"/>
  <c r="F26" i="3"/>
  <c r="F52" i="3"/>
  <c r="F16" i="3"/>
  <c r="H54" i="2"/>
  <c r="P39" i="2"/>
  <c r="E26" i="3"/>
  <c r="G18" i="2" l="1"/>
  <c r="E18" i="2"/>
  <c r="E18" i="1" l="1"/>
  <c r="F18" i="2"/>
  <c r="N37" i="3" l="1"/>
  <c r="D16" i="3"/>
  <c r="B16" i="3" l="1"/>
  <c r="B12" i="2"/>
  <c r="D18" i="2"/>
  <c r="C16" i="3"/>
  <c r="D28" i="1"/>
  <c r="D12" i="1"/>
  <c r="M16" i="3"/>
  <c r="M26" i="3"/>
  <c r="M52" i="3"/>
  <c r="O18" i="2"/>
  <c r="K26" i="3"/>
  <c r="P36" i="2"/>
  <c r="P59" i="2"/>
  <c r="P58" i="2"/>
  <c r="P57" i="2"/>
  <c r="H16" i="3" l="1"/>
  <c r="H52" i="3"/>
  <c r="H26" i="3"/>
  <c r="J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8" i="2"/>
  <c r="D18" i="1" l="1"/>
  <c r="M10" i="3"/>
  <c r="O54" i="2"/>
  <c r="C38" i="2"/>
  <c r="C18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6" i="2"/>
  <c r="P55" i="2"/>
  <c r="M54" i="2"/>
  <c r="K54" i="2"/>
  <c r="J54" i="2"/>
  <c r="I54" i="2"/>
  <c r="P31" i="2"/>
  <c r="P37" i="2"/>
  <c r="P35" i="2"/>
  <c r="P34" i="2"/>
  <c r="P33" i="2"/>
  <c r="P32" i="2"/>
  <c r="P30" i="2"/>
  <c r="P29" i="2"/>
  <c r="P27" i="2"/>
  <c r="P25" i="2"/>
  <c r="P22" i="2"/>
  <c r="P21" i="2"/>
  <c r="P20" i="2"/>
  <c r="K18" i="2"/>
  <c r="P26" i="2"/>
  <c r="P24" i="2"/>
  <c r="P23" i="2"/>
  <c r="P19" i="2"/>
  <c r="P17" i="2"/>
  <c r="P14" i="2"/>
  <c r="P13" i="2"/>
  <c r="G54" i="2"/>
  <c r="E54" i="2"/>
  <c r="D54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M18" i="2"/>
  <c r="O12" i="2"/>
  <c r="N12" i="2"/>
  <c r="M12" i="2"/>
  <c r="L12" i="2"/>
  <c r="K12" i="2"/>
  <c r="J12" i="2"/>
  <c r="I12" i="2"/>
  <c r="H12" i="2"/>
  <c r="G12" i="2"/>
  <c r="F12" i="2"/>
  <c r="E12" i="2"/>
  <c r="D12" i="2"/>
  <c r="B54" i="2"/>
  <c r="B38" i="2"/>
  <c r="C28" i="2"/>
  <c r="B28" i="2"/>
  <c r="C12" i="2"/>
  <c r="C85" i="2" l="1"/>
  <c r="P12" i="2"/>
  <c r="K83" i="3"/>
  <c r="E83" i="3"/>
  <c r="C83" i="3"/>
  <c r="B83" i="3"/>
  <c r="M83" i="3"/>
  <c r="L83" i="3"/>
  <c r="B85" i="2"/>
  <c r="P54" i="2"/>
  <c r="I83" i="3"/>
  <c r="N26" i="3"/>
  <c r="N10" i="3"/>
  <c r="N16" i="3"/>
  <c r="N52" i="3"/>
  <c r="P28" i="2"/>
  <c r="F85" i="2"/>
  <c r="G85" i="2"/>
  <c r="P18" i="2"/>
  <c r="O85" i="2"/>
  <c r="I85" i="2"/>
  <c r="M85" i="2"/>
  <c r="N85" i="2"/>
  <c r="H85" i="2"/>
  <c r="L85" i="2"/>
  <c r="K85" i="2"/>
  <c r="J85" i="2"/>
  <c r="E85" i="2"/>
  <c r="D85" i="2"/>
  <c r="D54" i="1"/>
  <c r="E38" i="1"/>
  <c r="D38" i="1"/>
  <c r="E28" i="1"/>
  <c r="E12" i="1"/>
  <c r="E85" i="1" l="1"/>
  <c r="N83" i="3"/>
  <c r="D85" i="1"/>
  <c r="P85" i="2"/>
</calcChain>
</file>

<file path=xl/sharedStrings.xml><?xml version="1.0" encoding="utf-8"?>
<sst xmlns="http://schemas.openxmlformats.org/spreadsheetml/2006/main" count="293" uniqueCount="113">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</sst>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1"/>
      <color theme="0"/>
      <name val="Calibri"/>
      <family val="2"/>
      <scheme val="minor"/>
    </font>
    <font>
      <b/>
      <i/>
      <sz val="11"/>
      <color theme="0"/>
      <name val="Gotham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600076</xdr:colOff>
      <xdr:row>1</xdr:row>
      <xdr:rowOff>104775</xdr:rowOff>
    </xdr:from>
    <xdr:to>
      <xdr:col>15</xdr:col>
      <xdr:colOff>459262</xdr:colOff>
      <xdr:row>5</xdr:row>
      <xdr:rowOff>126000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6" y="2952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64" workbookViewId="0">
      <selection activeCell="E61" sqref="E6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111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98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2025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80400308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955700</v>
      </c>
      <c r="F22" s="8"/>
    </row>
    <row r="23" spans="3:6" x14ac:dyDescent="0.25">
      <c r="C23" s="5" t="s">
        <v>12</v>
      </c>
      <c r="D23" s="6">
        <v>23404000</v>
      </c>
      <c r="E23" s="6">
        <v>22833425</v>
      </c>
    </row>
    <row r="24" spans="3:6" x14ac:dyDescent="0.25">
      <c r="C24" s="5" t="s">
        <v>13</v>
      </c>
      <c r="D24" s="6">
        <v>14670500</v>
      </c>
      <c r="E24" s="6">
        <v>14270500</v>
      </c>
    </row>
    <row r="25" spans="3:6" x14ac:dyDescent="0.25">
      <c r="C25" s="5" t="s">
        <v>14</v>
      </c>
      <c r="D25" s="6">
        <v>2820000</v>
      </c>
      <c r="E25" s="6">
        <v>4950000</v>
      </c>
    </row>
    <row r="26" spans="3:6" x14ac:dyDescent="0.25">
      <c r="C26" s="5" t="s">
        <v>15</v>
      </c>
      <c r="D26" s="6">
        <v>1635000</v>
      </c>
      <c r="E26" s="6">
        <v>2550393</v>
      </c>
    </row>
    <row r="27" spans="3:6" x14ac:dyDescent="0.25">
      <c r="C27" s="5" t="s">
        <v>16</v>
      </c>
      <c r="D27" s="6">
        <v>3280000</v>
      </c>
      <c r="E27" s="6">
        <v>3473200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14914089</v>
      </c>
    </row>
    <row r="29" spans="3:6" x14ac:dyDescent="0.25">
      <c r="C29" s="5" t="s">
        <v>18</v>
      </c>
      <c r="D29" s="6">
        <v>665000</v>
      </c>
      <c r="E29" s="6">
        <v>680630.53</v>
      </c>
    </row>
    <row r="30" spans="3:6" x14ac:dyDescent="0.25">
      <c r="C30" s="5" t="s">
        <v>19</v>
      </c>
      <c r="D30" s="6">
        <v>125000</v>
      </c>
      <c r="E30" s="6">
        <v>263300</v>
      </c>
    </row>
    <row r="31" spans="3:6" x14ac:dyDescent="0.25">
      <c r="C31" s="5" t="s">
        <v>20</v>
      </c>
      <c r="D31" s="6">
        <v>475000</v>
      </c>
      <c r="E31" s="6">
        <v>427200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280369.46999999997</v>
      </c>
    </row>
    <row r="34" spans="3:5" x14ac:dyDescent="0.25">
      <c r="C34" s="5" t="s">
        <v>23</v>
      </c>
      <c r="D34" s="6">
        <v>305002</v>
      </c>
      <c r="E34" s="6">
        <v>366002</v>
      </c>
    </row>
    <row r="35" spans="3:5" x14ac:dyDescent="0.25">
      <c r="C35" s="5" t="s">
        <v>24</v>
      </c>
      <c r="D35" s="6">
        <v>11100000</v>
      </c>
      <c r="E35" s="6">
        <v>11333500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1563087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1347500</v>
      </c>
    </row>
    <row r="55" spans="3:5" x14ac:dyDescent="0.25">
      <c r="C55" s="5" t="s">
        <v>44</v>
      </c>
      <c r="D55" s="6">
        <v>650000</v>
      </c>
      <c r="E55" s="6">
        <v>1280000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27500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314313895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8"/>
  <sheetViews>
    <sheetView showGridLines="0" tabSelected="1" workbookViewId="0">
      <selection activeCell="I23" sqref="I23"/>
    </sheetView>
  </sheetViews>
  <sheetFormatPr defaultColWidth="11.42578125" defaultRowHeight="15" x14ac:dyDescent="0.25"/>
  <cols>
    <col min="1" max="1" width="76.42578125" customWidth="1"/>
    <col min="2" max="2" width="19.570312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4" customWidth="1"/>
    <col min="14" max="14" width="12.7109375" customWidth="1"/>
    <col min="15" max="15" width="13.42578125" customWidth="1"/>
    <col min="16" max="16" width="15.5703125" customWidth="1"/>
  </cols>
  <sheetData>
    <row r="3" spans="1:17" ht="28.5" customHeight="1" x14ac:dyDescent="0.25">
      <c r="A3" s="56" t="s">
        <v>111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ht="21" customHeight="1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46">
        <v>2025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15.75" customHeight="1" x14ac:dyDescent="0.25">
      <c r="A6" s="41" t="s">
        <v>92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77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.5" customHeight="1" x14ac:dyDescent="0.25"/>
    <row r="9" spans="1:17" ht="25.5" customHeight="1" x14ac:dyDescent="0.25">
      <c r="A9" s="43" t="s">
        <v>66</v>
      </c>
      <c r="B9" s="44" t="s">
        <v>94</v>
      </c>
      <c r="C9" s="44" t="s">
        <v>93</v>
      </c>
      <c r="D9" s="49" t="s">
        <v>91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43"/>
      <c r="B10" s="45"/>
      <c r="C10" s="45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87</v>
      </c>
      <c r="M10" s="15" t="s">
        <v>88</v>
      </c>
      <c r="N10" s="15" t="s">
        <v>89</v>
      </c>
      <c r="O10" s="16" t="s">
        <v>90</v>
      </c>
      <c r="P10" s="15" t="s">
        <v>78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25">
        <f>B13+B14+B17</f>
        <v>217601998</v>
      </c>
      <c r="C12" s="25">
        <f>C13+C14+C17</f>
        <v>217601998</v>
      </c>
      <c r="D12" s="25">
        <f t="shared" ref="D12:O12" si="0">D13+D14+D17</f>
        <v>14442586.75</v>
      </c>
      <c r="E12" s="25">
        <f t="shared" si="0"/>
        <v>14350642.969999999</v>
      </c>
      <c r="F12" s="25">
        <f t="shared" si="0"/>
        <v>16190801.01</v>
      </c>
      <c r="G12" s="25">
        <f t="shared" si="0"/>
        <v>27027152.419999998</v>
      </c>
      <c r="H12" s="25">
        <f t="shared" si="0"/>
        <v>14161002.27</v>
      </c>
      <c r="I12" s="25">
        <f t="shared" si="0"/>
        <v>14633628.659999998</v>
      </c>
      <c r="J12" s="25">
        <f t="shared" si="0"/>
        <v>14487741.35</v>
      </c>
      <c r="K12" s="25">
        <f t="shared" si="0"/>
        <v>14606610.34</v>
      </c>
      <c r="L12" s="25">
        <f t="shared" si="0"/>
        <v>14413861.949999999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>SUM(D12:O12)</f>
        <v>144314027.71999997</v>
      </c>
    </row>
    <row r="13" spans="1:17" x14ac:dyDescent="0.25">
      <c r="A13" s="5" t="s">
        <v>2</v>
      </c>
      <c r="B13" s="24">
        <v>166834000</v>
      </c>
      <c r="C13" s="24">
        <v>166834000</v>
      </c>
      <c r="D13" s="24">
        <f>12263814.61+22000</f>
        <v>12285814.609999999</v>
      </c>
      <c r="E13" s="24">
        <f>12196731.28+9333.33</f>
        <v>12206064.609999999</v>
      </c>
      <c r="F13" s="24">
        <v>14036483.119999999</v>
      </c>
      <c r="G13" s="24">
        <v>24873991.829999998</v>
      </c>
      <c r="H13" s="24">
        <f>11968631.28+20000+29072.45</f>
        <v>12017703.729999999</v>
      </c>
      <c r="I13" s="24">
        <f>12006464.61+20000+18515+439840.79</f>
        <v>12484820.399999999</v>
      </c>
      <c r="J13" s="24">
        <v>12323850.119999999</v>
      </c>
      <c r="K13" s="24">
        <f>12234664.61+192000</f>
        <v>12426664.609999999</v>
      </c>
      <c r="L13" s="24">
        <f>11789664.61+510844.49</f>
        <v>12300509.1</v>
      </c>
      <c r="M13" s="24">
        <v>0</v>
      </c>
      <c r="N13" s="24">
        <v>0</v>
      </c>
      <c r="O13" s="24">
        <v>0</v>
      </c>
      <c r="P13" s="24">
        <f>SUM(D13:O13)</f>
        <v>124955902.12999998</v>
      </c>
    </row>
    <row r="14" spans="1:17" x14ac:dyDescent="0.25">
      <c r="A14" s="5" t="s">
        <v>3</v>
      </c>
      <c r="B14" s="24">
        <v>28302000</v>
      </c>
      <c r="C14" s="24">
        <v>28302000</v>
      </c>
      <c r="D14" s="24">
        <v>309500</v>
      </c>
      <c r="E14" s="24">
        <v>309500</v>
      </c>
      <c r="F14" s="24">
        <v>333500</v>
      </c>
      <c r="G14" s="24">
        <v>333500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333500</v>
      </c>
      <c r="M14" s="24">
        <v>0</v>
      </c>
      <c r="N14" s="24">
        <v>0</v>
      </c>
      <c r="O14" s="24">
        <v>0</v>
      </c>
      <c r="P14" s="24">
        <f>SUM(D14:O14)</f>
        <v>2953500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7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5" t="s">
        <v>6</v>
      </c>
      <c r="B17" s="24">
        <v>22465998</v>
      </c>
      <c r="C17" s="24">
        <v>22465998</v>
      </c>
      <c r="D17" s="24">
        <f>864160.42+872292.83+110818.89</f>
        <v>1847272.14</v>
      </c>
      <c r="E17" s="24">
        <f>858506.14+866630.58+109941.64</f>
        <v>1835078.3599999999</v>
      </c>
      <c r="F17" s="24">
        <v>1820817.89</v>
      </c>
      <c r="G17" s="24">
        <f>851146+855772.31+112742.28</f>
        <v>1819660.59</v>
      </c>
      <c r="H17" s="24">
        <f>846572.95+851192.81+112032.78</f>
        <v>1809798.54</v>
      </c>
      <c r="I17" s="24">
        <f>849255.33+853878.98+112173.95</f>
        <v>1815308.26</v>
      </c>
      <c r="J17" s="24">
        <f>856572.21+861206.18+112612.84</f>
        <v>1830391.2300000002</v>
      </c>
      <c r="K17" s="24">
        <f>864016.71+868661.18+113767.84</f>
        <v>1846445.7300000002</v>
      </c>
      <c r="L17" s="24">
        <f>832466.21+837066.18+110320.46</f>
        <v>1779852.85</v>
      </c>
      <c r="M17" s="24">
        <v>0</v>
      </c>
      <c r="N17" s="24">
        <v>0</v>
      </c>
      <c r="O17" s="24">
        <v>0</v>
      </c>
      <c r="P17" s="24">
        <f t="shared" ref="P17:P27" si="1">SUM(D17:O17)</f>
        <v>16404625.59</v>
      </c>
    </row>
    <row r="18" spans="1:16" x14ac:dyDescent="0.25">
      <c r="A18" s="3" t="s">
        <v>7</v>
      </c>
      <c r="B18" s="25">
        <f t="shared" ref="B18:G18" si="2">B19+B20+B21+B22+B23+B24+B25+B26+B27</f>
        <v>78896590</v>
      </c>
      <c r="C18" s="25">
        <f t="shared" si="2"/>
        <v>80400308</v>
      </c>
      <c r="D18" s="25">
        <f t="shared" si="2"/>
        <v>4013686.89</v>
      </c>
      <c r="E18" s="25">
        <f t="shared" si="2"/>
        <v>4564432.68</v>
      </c>
      <c r="F18" s="25">
        <f t="shared" si="2"/>
        <v>4875188.9699999988</v>
      </c>
      <c r="G18" s="25">
        <f t="shared" si="2"/>
        <v>4934694.6399999997</v>
      </c>
      <c r="H18" s="25">
        <f>H19+H20+H21+H22+H23+H24+H25+H26+H27</f>
        <v>4598395.13</v>
      </c>
      <c r="I18" s="25">
        <f>I19+I20+I21+I22+I23+I24+I25+I26+I27</f>
        <v>10958809.609999999</v>
      </c>
      <c r="J18" s="25">
        <f>J19+J20+J21+J22+J23+J24+J25+J26+J27</f>
        <v>5899027.2999999989</v>
      </c>
      <c r="K18" s="25">
        <f>K19+K20+K21+K22+K23+K24+K25+K26+K27</f>
        <v>7031406.9400000004</v>
      </c>
      <c r="L18" s="25">
        <f>L19+L20+L21+L22+L23+L24+L25+L26+L27</f>
        <v>6198859.5</v>
      </c>
      <c r="M18" s="25">
        <f t="shared" ref="M18" si="3">M19+M20+M21+M22+M23+M24+M25+M26</f>
        <v>0</v>
      </c>
      <c r="N18" s="25">
        <f>N19+N20+N21+N22+N23+N24+N25+N26+N27</f>
        <v>0</v>
      </c>
      <c r="O18" s="25">
        <f>O19+O20+O21+O22+O23+O24+O25+O26+O27</f>
        <v>0</v>
      </c>
      <c r="P18" s="25">
        <f t="shared" si="1"/>
        <v>53074501.659999996</v>
      </c>
    </row>
    <row r="19" spans="1:16" x14ac:dyDescent="0.25">
      <c r="A19" s="5" t="s">
        <v>8</v>
      </c>
      <c r="B19" s="24">
        <v>27452090</v>
      </c>
      <c r="C19" s="24">
        <v>27452090</v>
      </c>
      <c r="D19" s="24">
        <f>815947.89+253249.86+1011994.48+617383.3</f>
        <v>2698575.5300000003</v>
      </c>
      <c r="E19" s="24">
        <f>447933.82+404945.9+1665584.79+571326.66+27615+12329</f>
        <v>3129735.17</v>
      </c>
      <c r="F19" s="24">
        <v>2282632.04</v>
      </c>
      <c r="G19" s="24">
        <f>464494.54+191075.86+914219.55+572706.61+7541+2177</f>
        <v>2152214.56</v>
      </c>
      <c r="H19" s="24">
        <f>453154.61+191322.35+919243.32+558269.96+10270+2780</f>
        <v>2135040.2399999998</v>
      </c>
      <c r="I19" s="24">
        <f>477888.97+197435.31+923194+576243.55+4183+1610</f>
        <v>2180554.83</v>
      </c>
      <c r="J19" s="24">
        <f>469944.2+176144.03+1034079.06+540107.86+10036+8540</f>
        <v>2238851.15</v>
      </c>
      <c r="K19" s="24">
        <f>637265.63+333034.91+829575.1+571173.58+5434+2499</f>
        <v>2378982.2200000002</v>
      </c>
      <c r="L19" s="24">
        <f>619252.96+202030.41+791380.19+592485.92+3874+2500</f>
        <v>2211523.48</v>
      </c>
      <c r="M19" s="24">
        <v>0</v>
      </c>
      <c r="N19" s="24">
        <v>0</v>
      </c>
      <c r="O19" s="24">
        <v>0</v>
      </c>
      <c r="P19" s="24">
        <f t="shared" si="1"/>
        <v>21408109.219999999</v>
      </c>
    </row>
    <row r="20" spans="1:16" x14ac:dyDescent="0.25">
      <c r="A20" s="5" t="s">
        <v>9</v>
      </c>
      <c r="B20" s="24">
        <v>215000</v>
      </c>
      <c r="C20" s="24">
        <v>215000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1500</v>
      </c>
      <c r="J20" s="24">
        <v>0</v>
      </c>
      <c r="K20" s="24">
        <v>16940</v>
      </c>
      <c r="L20" s="24">
        <v>14876.26</v>
      </c>
      <c r="M20" s="24">
        <v>0</v>
      </c>
      <c r="N20" s="24">
        <v>0</v>
      </c>
      <c r="O20" s="24">
        <v>0</v>
      </c>
      <c r="P20" s="24">
        <f t="shared" si="1"/>
        <v>33316.26</v>
      </c>
    </row>
    <row r="21" spans="1:16" x14ac:dyDescent="0.25">
      <c r="A21" s="5" t="s">
        <v>10</v>
      </c>
      <c r="B21" s="24">
        <v>3700000</v>
      </c>
      <c r="C21" s="24">
        <v>3700000</v>
      </c>
      <c r="D21" s="24">
        <v>0</v>
      </c>
      <c r="E21" s="24">
        <v>119000</v>
      </c>
      <c r="F21" s="24">
        <v>85400</v>
      </c>
      <c r="G21" s="24">
        <v>167517.5</v>
      </c>
      <c r="H21" s="24">
        <v>76450</v>
      </c>
      <c r="I21" s="24">
        <v>93880</v>
      </c>
      <c r="J21" s="24">
        <v>341767.5</v>
      </c>
      <c r="K21" s="24">
        <v>172490</v>
      </c>
      <c r="L21" s="24">
        <v>501507.5</v>
      </c>
      <c r="M21" s="24">
        <v>0</v>
      </c>
      <c r="N21" s="24">
        <v>0</v>
      </c>
      <c r="O21" s="24">
        <v>0</v>
      </c>
      <c r="P21" s="24">
        <f t="shared" si="1"/>
        <v>1558012.5</v>
      </c>
    </row>
    <row r="22" spans="1:16" x14ac:dyDescent="0.25">
      <c r="A22" s="5" t="s">
        <v>11</v>
      </c>
      <c r="B22" s="24">
        <v>1720000</v>
      </c>
      <c r="C22" s="24">
        <v>955700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139000</v>
      </c>
      <c r="L22" s="24">
        <f>7641.56+64700+12668.68</f>
        <v>85010.239999999991</v>
      </c>
      <c r="M22" s="24">
        <v>0</v>
      </c>
      <c r="N22" s="24">
        <v>0</v>
      </c>
      <c r="O22" s="24">
        <v>0</v>
      </c>
      <c r="P22" s="24">
        <f t="shared" si="1"/>
        <v>224010.23999999999</v>
      </c>
    </row>
    <row r="23" spans="1:16" x14ac:dyDescent="0.25">
      <c r="A23" s="5" t="s">
        <v>12</v>
      </c>
      <c r="B23" s="24">
        <v>23404000</v>
      </c>
      <c r="C23" s="24">
        <v>22833425</v>
      </c>
      <c r="D23" s="24">
        <v>0</v>
      </c>
      <c r="E23" s="24">
        <v>84488</v>
      </c>
      <c r="F23" s="24">
        <v>355001.48</v>
      </c>
      <c r="G23" s="24">
        <v>147139.93</v>
      </c>
      <c r="H23" s="24">
        <f>81184+141787.8</f>
        <v>222971.8</v>
      </c>
      <c r="I23" s="24">
        <f>6849049.33+81184</f>
        <v>6930233.3300000001</v>
      </c>
      <c r="J23" s="24">
        <f>1462191.62+81184</f>
        <v>1543375.62</v>
      </c>
      <c r="K23" s="24">
        <f>2419302.18+81184+214435.65</f>
        <v>2714921.83</v>
      </c>
      <c r="L23" s="24">
        <f>1126786.06+127746.21</f>
        <v>1254532.27</v>
      </c>
      <c r="M23" s="24">
        <v>0</v>
      </c>
      <c r="N23" s="24">
        <v>0</v>
      </c>
      <c r="O23" s="24">
        <v>0</v>
      </c>
      <c r="P23" s="24">
        <f t="shared" si="1"/>
        <v>13252664.26</v>
      </c>
    </row>
    <row r="24" spans="1:16" x14ac:dyDescent="0.25">
      <c r="A24" s="5" t="s">
        <v>13</v>
      </c>
      <c r="B24" s="24">
        <v>14670500</v>
      </c>
      <c r="C24" s="24">
        <v>14270500</v>
      </c>
      <c r="D24" s="24">
        <v>1194917.68</v>
      </c>
      <c r="E24" s="24">
        <v>880511.45</v>
      </c>
      <c r="F24" s="24">
        <v>1565479</v>
      </c>
      <c r="G24" s="24">
        <f>326888.77+1198709.99</f>
        <v>1525598.76</v>
      </c>
      <c r="H24" s="24">
        <f>293205.46+1363636.29</f>
        <v>1656841.75</v>
      </c>
      <c r="I24" s="24">
        <v>1464175.53</v>
      </c>
      <c r="J24" s="24">
        <v>850726.87</v>
      </c>
      <c r="K24" s="24">
        <v>1175041.5</v>
      </c>
      <c r="L24" s="24">
        <f>392531.66+838998.35</f>
        <v>1231530.01</v>
      </c>
      <c r="M24" s="24">
        <v>0</v>
      </c>
      <c r="N24" s="24">
        <v>0</v>
      </c>
      <c r="O24" s="24">
        <v>0</v>
      </c>
      <c r="P24" s="24">
        <f t="shared" si="1"/>
        <v>11544822.549999999</v>
      </c>
    </row>
    <row r="25" spans="1:16" ht="30" x14ac:dyDescent="0.25">
      <c r="A25" s="29" t="s">
        <v>14</v>
      </c>
      <c r="B25" s="24">
        <v>2820000</v>
      </c>
      <c r="C25" s="24">
        <v>4950000</v>
      </c>
      <c r="D25" s="24">
        <v>42244</v>
      </c>
      <c r="E25" s="24">
        <v>86199</v>
      </c>
      <c r="F25" s="24">
        <v>449532.8</v>
      </c>
      <c r="G25" s="24">
        <v>566400</v>
      </c>
      <c r="H25" s="24">
        <v>7620.8</v>
      </c>
      <c r="I25" s="24">
        <v>0</v>
      </c>
      <c r="J25" s="24">
        <v>149989.79999999999</v>
      </c>
      <c r="K25" s="24">
        <f>30000+96800</f>
        <v>126800</v>
      </c>
      <c r="L25" s="24">
        <f>1400+600164.3</f>
        <v>601564.30000000005</v>
      </c>
      <c r="M25" s="24">
        <v>0</v>
      </c>
      <c r="N25" s="24">
        <v>0</v>
      </c>
      <c r="O25" s="24">
        <v>0</v>
      </c>
      <c r="P25" s="24">
        <f t="shared" si="1"/>
        <v>2030350.7000000002</v>
      </c>
    </row>
    <row r="26" spans="1:16" x14ac:dyDescent="0.25">
      <c r="A26" s="5" t="s">
        <v>15</v>
      </c>
      <c r="B26" s="24">
        <v>1635000</v>
      </c>
      <c r="C26" s="24">
        <v>2550393</v>
      </c>
      <c r="D26" s="24">
        <v>0</v>
      </c>
      <c r="E26" s="24">
        <f>5100.05+33000+19116</f>
        <v>57216.05</v>
      </c>
      <c r="F26" s="24">
        <v>17700.009999999998</v>
      </c>
      <c r="G26" s="24">
        <f>525+9300.09+16500+23895+4599.42</f>
        <v>54819.509999999995</v>
      </c>
      <c r="H26" s="24">
        <f>160000+19116</f>
        <v>179116</v>
      </c>
      <c r="I26" s="24">
        <v>73000</v>
      </c>
      <c r="J26" s="24">
        <f>7425+165200+262699.14+19116</f>
        <v>454440.14</v>
      </c>
      <c r="K26" s="24">
        <f>50464+9558</f>
        <v>60022</v>
      </c>
      <c r="L26" s="24">
        <f>1485.33+39999.99+17700+16500+11151</f>
        <v>86836.32</v>
      </c>
      <c r="M26" s="24">
        <v>0</v>
      </c>
      <c r="N26" s="24">
        <v>0</v>
      </c>
      <c r="O26" s="24">
        <v>0</v>
      </c>
      <c r="P26" s="24">
        <f t="shared" si="1"/>
        <v>983150.03</v>
      </c>
    </row>
    <row r="27" spans="1:16" x14ac:dyDescent="0.25">
      <c r="A27" s="5" t="s">
        <v>16</v>
      </c>
      <c r="B27" s="24">
        <v>3280000</v>
      </c>
      <c r="C27" s="24">
        <v>3473200</v>
      </c>
      <c r="D27" s="24">
        <v>77949.679999999993</v>
      </c>
      <c r="E27" s="24">
        <v>207283.01</v>
      </c>
      <c r="F27" s="24">
        <v>119443.64</v>
      </c>
      <c r="G27" s="24">
        <v>321004.38</v>
      </c>
      <c r="H27" s="24">
        <v>320354.53999999998</v>
      </c>
      <c r="I27" s="24">
        <f>93102+122363.92</f>
        <v>215465.91999999998</v>
      </c>
      <c r="J27" s="24">
        <v>319876.21999999997</v>
      </c>
      <c r="K27" s="24">
        <v>247209.39</v>
      </c>
      <c r="L27" s="24">
        <v>211479.12</v>
      </c>
      <c r="M27" s="24">
        <v>0</v>
      </c>
      <c r="N27" s="24">
        <v>0</v>
      </c>
      <c r="O27" s="24">
        <v>0</v>
      </c>
      <c r="P27" s="24">
        <f t="shared" si="1"/>
        <v>2040065.9</v>
      </c>
    </row>
    <row r="28" spans="1:16" x14ac:dyDescent="0.25">
      <c r="A28" s="3" t="s">
        <v>17</v>
      </c>
      <c r="B28" s="25">
        <f>B29+B30+B31+B32+B33+B34+B35+B37</f>
        <v>14150689</v>
      </c>
      <c r="C28" s="25">
        <f>C29+C30+C31+C32+C33+C34+C35+C37</f>
        <v>14914089</v>
      </c>
      <c r="D28" s="25">
        <f t="shared" ref="D28:P28" si="4">D29+D30+D31+D32+D33+D34+D35+D37</f>
        <v>725140</v>
      </c>
      <c r="E28" s="25">
        <f t="shared" si="4"/>
        <v>735220</v>
      </c>
      <c r="F28" s="25">
        <f t="shared" si="4"/>
        <v>1203322.1499999999</v>
      </c>
      <c r="G28" s="25">
        <f t="shared" si="4"/>
        <v>559729.84000000008</v>
      </c>
      <c r="H28" s="25">
        <f t="shared" si="4"/>
        <v>959125.32999999984</v>
      </c>
      <c r="I28" s="25">
        <f t="shared" si="4"/>
        <v>1660734.6199999999</v>
      </c>
      <c r="J28" s="25">
        <f t="shared" si="4"/>
        <v>820380.08000000007</v>
      </c>
      <c r="K28" s="25">
        <f t="shared" si="4"/>
        <v>1108833.02</v>
      </c>
      <c r="L28" s="25">
        <f t="shared" si="4"/>
        <v>1226801.2999999998</v>
      </c>
      <c r="M28" s="25">
        <f t="shared" si="4"/>
        <v>0</v>
      </c>
      <c r="N28" s="25">
        <f t="shared" si="4"/>
        <v>0</v>
      </c>
      <c r="O28" s="25">
        <f t="shared" si="4"/>
        <v>0</v>
      </c>
      <c r="P28" s="25">
        <f t="shared" si="4"/>
        <v>8999286.3399999999</v>
      </c>
    </row>
    <row r="29" spans="1:16" x14ac:dyDescent="0.25">
      <c r="A29" s="5" t="s">
        <v>18</v>
      </c>
      <c r="B29" s="24">
        <v>665000</v>
      </c>
      <c r="C29" s="24">
        <v>680630.53</v>
      </c>
      <c r="D29" s="24">
        <v>2640</v>
      </c>
      <c r="E29" s="24">
        <v>12720</v>
      </c>
      <c r="F29" s="24">
        <v>31770.05</v>
      </c>
      <c r="G29" s="24">
        <v>20384.5</v>
      </c>
      <c r="H29" s="24">
        <v>18369.990000000002</v>
      </c>
      <c r="I29" s="24">
        <v>193898.2</v>
      </c>
      <c r="J29" s="24">
        <v>4740</v>
      </c>
      <c r="K29" s="24">
        <v>28880</v>
      </c>
      <c r="L29" s="24">
        <v>191111.62</v>
      </c>
      <c r="M29" s="24">
        <v>0</v>
      </c>
      <c r="N29" s="24">
        <v>0</v>
      </c>
      <c r="O29" s="24">
        <v>0</v>
      </c>
      <c r="P29" s="24">
        <f t="shared" ref="P29:P36" si="5">SUM(D29:O29)</f>
        <v>504514.36</v>
      </c>
    </row>
    <row r="30" spans="1:16" x14ac:dyDescent="0.25">
      <c r="A30" s="5" t="s">
        <v>19</v>
      </c>
      <c r="B30" s="24">
        <v>125000</v>
      </c>
      <c r="C30" s="24">
        <v>263300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112930.58</v>
      </c>
      <c r="K30" s="24">
        <v>0</v>
      </c>
      <c r="L30" s="24">
        <v>777.9</v>
      </c>
      <c r="M30" s="24">
        <v>0</v>
      </c>
      <c r="N30" s="24">
        <v>0</v>
      </c>
      <c r="O30" s="24">
        <v>0</v>
      </c>
      <c r="P30" s="24">
        <f t="shared" si="5"/>
        <v>113708.48</v>
      </c>
    </row>
    <row r="31" spans="1:16" x14ac:dyDescent="0.25">
      <c r="A31" s="5" t="s">
        <v>20</v>
      </c>
      <c r="B31" s="24">
        <v>475000</v>
      </c>
      <c r="C31" s="24">
        <v>427200</v>
      </c>
      <c r="D31" s="24">
        <v>0</v>
      </c>
      <c r="E31" s="24">
        <v>0</v>
      </c>
      <c r="F31" s="24">
        <v>31246.400000000001</v>
      </c>
      <c r="G31" s="24">
        <v>0</v>
      </c>
      <c r="H31" s="24">
        <v>19352</v>
      </c>
      <c r="I31" s="24">
        <v>52038</v>
      </c>
      <c r="J31" s="24">
        <v>11475</v>
      </c>
      <c r="K31" s="24">
        <v>3100</v>
      </c>
      <c r="L31" s="24">
        <v>252157.83</v>
      </c>
      <c r="M31" s="24">
        <v>0</v>
      </c>
      <c r="N31" s="24">
        <v>0</v>
      </c>
      <c r="O31" s="24">
        <v>0</v>
      </c>
      <c r="P31" s="24">
        <f t="shared" si="5"/>
        <v>369369.23</v>
      </c>
    </row>
    <row r="32" spans="1:16" x14ac:dyDescent="0.25">
      <c r="A32" s="5" t="s">
        <v>21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0</v>
      </c>
    </row>
    <row r="33" spans="1:16" x14ac:dyDescent="0.25">
      <c r="A33" s="5" t="s">
        <v>22</v>
      </c>
      <c r="B33" s="24">
        <v>300000</v>
      </c>
      <c r="C33" s="24">
        <v>280369.46999999997</v>
      </c>
      <c r="D33" s="24">
        <v>0</v>
      </c>
      <c r="E33" s="24">
        <v>0</v>
      </c>
      <c r="F33" s="24">
        <v>0</v>
      </c>
      <c r="G33" s="24">
        <v>0</v>
      </c>
      <c r="H33" s="24">
        <v>7168.5</v>
      </c>
      <c r="I33" s="24">
        <v>140618.23999999999</v>
      </c>
      <c r="J33" s="24">
        <v>0</v>
      </c>
      <c r="K33" s="24">
        <v>0</v>
      </c>
      <c r="L33" s="24">
        <f>1450+13300.72</f>
        <v>14750.72</v>
      </c>
      <c r="M33" s="24">
        <v>0</v>
      </c>
      <c r="N33" s="24">
        <v>0</v>
      </c>
      <c r="O33" s="24">
        <v>0</v>
      </c>
      <c r="P33" s="24">
        <f t="shared" si="5"/>
        <v>162537.46</v>
      </c>
    </row>
    <row r="34" spans="1:16" x14ac:dyDescent="0.25">
      <c r="A34" s="5" t="s">
        <v>23</v>
      </c>
      <c r="B34" s="24">
        <v>305002</v>
      </c>
      <c r="C34" s="24">
        <v>366002</v>
      </c>
      <c r="D34" s="24">
        <v>0</v>
      </c>
      <c r="E34" s="24">
        <v>0</v>
      </c>
      <c r="F34" s="24">
        <v>3223.43</v>
      </c>
      <c r="G34" s="24">
        <v>324.97000000000003</v>
      </c>
      <c r="H34" s="24">
        <f>1761.47+2643.82</f>
        <v>4405.29</v>
      </c>
      <c r="I34" s="24">
        <f>2884.75+6200.05+217.5+2000.95</f>
        <v>11303.25</v>
      </c>
      <c r="J34" s="24">
        <v>111650</v>
      </c>
      <c r="K34" s="24">
        <f>672.6+1919.86+1444.32</f>
        <v>4036.7799999999997</v>
      </c>
      <c r="L34" s="24">
        <f>6073.67+995+23650.59</f>
        <v>30719.260000000002</v>
      </c>
      <c r="M34" s="24">
        <v>0</v>
      </c>
      <c r="N34" s="24">
        <v>0</v>
      </c>
      <c r="O34" s="24">
        <v>0</v>
      </c>
      <c r="P34" s="24">
        <f t="shared" si="5"/>
        <v>165662.98000000001</v>
      </c>
    </row>
    <row r="35" spans="1:16" x14ac:dyDescent="0.25">
      <c r="A35" s="5" t="s">
        <v>24</v>
      </c>
      <c r="B35" s="24">
        <v>11100000</v>
      </c>
      <c r="C35" s="24">
        <v>11333500</v>
      </c>
      <c r="D35" s="24">
        <v>722500</v>
      </c>
      <c r="E35" s="24">
        <v>722500</v>
      </c>
      <c r="F35" s="24">
        <v>1015500</v>
      </c>
      <c r="G35" s="24">
        <v>516862.32</v>
      </c>
      <c r="H35" s="24">
        <f>505000+50548.6+115907.57+2468.44</f>
        <v>673924.60999999987</v>
      </c>
      <c r="I35" s="24">
        <f>789500+99999.22+10431.2+99550.11+16494.71</f>
        <v>1015975.2399999999</v>
      </c>
      <c r="J35" s="24">
        <v>512000</v>
      </c>
      <c r="K35" s="24">
        <f>900000+6773.2+6742.52</f>
        <v>913515.72</v>
      </c>
      <c r="L35" s="24">
        <f>474000+315+300+2463.74+3033.61+6063.18</f>
        <v>486175.52999999997</v>
      </c>
      <c r="M35" s="24">
        <v>0</v>
      </c>
      <c r="N35" s="24">
        <v>0</v>
      </c>
      <c r="O35" s="24">
        <v>0</v>
      </c>
      <c r="P35" s="24">
        <f t="shared" si="5"/>
        <v>6578953.4199999999</v>
      </c>
    </row>
    <row r="36" spans="1:16" x14ac:dyDescent="0.25">
      <c r="A36" s="5" t="s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 t="shared" si="5"/>
        <v>0</v>
      </c>
    </row>
    <row r="37" spans="1:16" x14ac:dyDescent="0.25">
      <c r="A37" s="5" t="s">
        <v>26</v>
      </c>
      <c r="B37" s="24">
        <v>1180687</v>
      </c>
      <c r="C37" s="24">
        <v>1563087</v>
      </c>
      <c r="D37" s="24">
        <v>0</v>
      </c>
      <c r="E37" s="24">
        <v>0</v>
      </c>
      <c r="F37" s="24">
        <v>121582.27</v>
      </c>
      <c r="G37" s="24">
        <f>11876.94+6062.46+4218.65</f>
        <v>22158.050000000003</v>
      </c>
      <c r="H37" s="24">
        <f>47039.23+90737.28+26000.24+58481.84+12398.5+1247.85</f>
        <v>235904.94</v>
      </c>
      <c r="I37" s="24">
        <f>45492.66+2891.61+74365.37+30343.62+16150.06+1400.9+76257.47</f>
        <v>246901.69</v>
      </c>
      <c r="J37" s="24">
        <f>58498.5+9086</f>
        <v>67584.5</v>
      </c>
      <c r="K37" s="24">
        <f>30472.91+32621.03+34696.72+60833.58+676.28</f>
        <v>159300.51999999999</v>
      </c>
      <c r="L37" s="24">
        <f>102156.91+1905.7+640+5629.99+20801.03+3000.01+53532+708+62734.8</f>
        <v>251108.44</v>
      </c>
      <c r="M37" s="24">
        <v>0</v>
      </c>
      <c r="N37" s="24">
        <v>0</v>
      </c>
      <c r="O37" s="24">
        <v>0</v>
      </c>
      <c r="P37" s="24">
        <f>SUM(D37:O37)</f>
        <v>1104540.4099999999</v>
      </c>
    </row>
    <row r="38" spans="1:16" x14ac:dyDescent="0.25">
      <c r="A38" s="3" t="s">
        <v>27</v>
      </c>
      <c r="B38" s="25">
        <f>B39</f>
        <v>50000</v>
      </c>
      <c r="C38" s="25">
        <f>C39</f>
        <v>50000</v>
      </c>
      <c r="D38" s="25">
        <f t="shared" ref="D38:P38" si="6">D39</f>
        <v>0</v>
      </c>
      <c r="E38" s="25">
        <f t="shared" si="6"/>
        <v>0</v>
      </c>
      <c r="F38" s="25">
        <f t="shared" si="6"/>
        <v>24000</v>
      </c>
      <c r="G38" s="25">
        <f t="shared" si="6"/>
        <v>0</v>
      </c>
      <c r="H38" s="25">
        <f t="shared" si="6"/>
        <v>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24000</v>
      </c>
    </row>
    <row r="39" spans="1:16" x14ac:dyDescent="0.25">
      <c r="A39" s="5" t="s">
        <v>28</v>
      </c>
      <c r="B39" s="24">
        <v>50000</v>
      </c>
      <c r="C39" s="24">
        <v>50000</v>
      </c>
      <c r="D39" s="24">
        <v>0</v>
      </c>
      <c r="E39" s="24">
        <v>0</v>
      </c>
      <c r="F39" s="24">
        <v>24000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f>SUM(D39:O39)</f>
        <v>24000</v>
      </c>
    </row>
    <row r="40" spans="1:16" x14ac:dyDescent="0.25">
      <c r="A40" s="5" t="s">
        <v>29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x14ac:dyDescent="0.25">
      <c r="A41" s="5" t="s">
        <v>30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31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5" t="s">
        <v>34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5" t="s">
        <v>35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3" t="s">
        <v>36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5" t="s">
        <v>37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x14ac:dyDescent="0.25">
      <c r="A49" s="5" t="s">
        <v>38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5" t="s">
        <v>39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5" t="s">
        <v>40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5" t="s">
        <v>41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5" t="s">
        <v>42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</row>
    <row r="54" spans="1:16" x14ac:dyDescent="0.25">
      <c r="A54" s="3" t="s">
        <v>43</v>
      </c>
      <c r="B54" s="25">
        <f>B55+B58+B59</f>
        <v>1000000</v>
      </c>
      <c r="C54" s="25">
        <f>C55+C58+C59+C56+C62</f>
        <v>1347500</v>
      </c>
      <c r="D54" s="25">
        <f>D55+D58+D59</f>
        <v>0</v>
      </c>
      <c r="E54" s="25">
        <f>E55+E58+E59</f>
        <v>0</v>
      </c>
      <c r="F54" s="25">
        <f>F55+F58+F59+F62</f>
        <v>842496.34</v>
      </c>
      <c r="G54" s="25">
        <f>G55+G58+G59</f>
        <v>0</v>
      </c>
      <c r="H54" s="25">
        <f>H56+H55</f>
        <v>24721</v>
      </c>
      <c r="I54" s="25">
        <f t="shared" ref="I54:M54" si="7">I55+I58+I59</f>
        <v>78242.290000000008</v>
      </c>
      <c r="J54" s="25">
        <f t="shared" si="7"/>
        <v>0</v>
      </c>
      <c r="K54" s="25">
        <f t="shared" si="7"/>
        <v>118631.54</v>
      </c>
      <c r="L54" s="25">
        <f>L55+L58+L59+L56</f>
        <v>0</v>
      </c>
      <c r="M54" s="25">
        <f t="shared" si="7"/>
        <v>0</v>
      </c>
      <c r="N54" s="25">
        <f>N55+N58+N59+N56+N62</f>
        <v>0</v>
      </c>
      <c r="O54" s="25">
        <f>O55+O58+O59+O56</f>
        <v>0</v>
      </c>
      <c r="P54" s="25">
        <f>SUM(D54:O54)</f>
        <v>1064091.17</v>
      </c>
    </row>
    <row r="55" spans="1:16" x14ac:dyDescent="0.25">
      <c r="A55" s="5" t="s">
        <v>44</v>
      </c>
      <c r="B55" s="24">
        <v>650000</v>
      </c>
      <c r="C55" s="24">
        <v>1280000</v>
      </c>
      <c r="D55" s="24">
        <v>0</v>
      </c>
      <c r="E55" s="24">
        <v>0</v>
      </c>
      <c r="F55" s="24">
        <v>802496.34</v>
      </c>
      <c r="G55" s="24">
        <v>0</v>
      </c>
      <c r="H55" s="24">
        <v>24721</v>
      </c>
      <c r="I55" s="24">
        <v>76934.3</v>
      </c>
      <c r="J55" s="24">
        <v>0</v>
      </c>
      <c r="K55" s="24">
        <v>103291.54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1007443.18</v>
      </c>
    </row>
    <row r="56" spans="1:16" x14ac:dyDescent="0.25">
      <c r="A56" s="5" t="s">
        <v>45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>SUM(D56:O56)</f>
        <v>0</v>
      </c>
    </row>
    <row r="57" spans="1:16" x14ac:dyDescent="0.25">
      <c r="A57" s="5" t="s">
        <v>46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8">SUM(D57:O57)</f>
        <v>0</v>
      </c>
    </row>
    <row r="58" spans="1:16" x14ac:dyDescent="0.25">
      <c r="A58" s="5" t="s">
        <v>47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8"/>
        <v>0</v>
      </c>
    </row>
    <row r="59" spans="1:16" x14ac:dyDescent="0.25">
      <c r="A59" s="5" t="s">
        <v>48</v>
      </c>
      <c r="B59" s="24">
        <v>350000</v>
      </c>
      <c r="C59" s="24">
        <v>27500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1307.99</v>
      </c>
      <c r="J59" s="24">
        <v>0</v>
      </c>
      <c r="K59" s="24">
        <v>15340</v>
      </c>
      <c r="L59" s="24">
        <v>0</v>
      </c>
      <c r="M59" s="24">
        <v>0</v>
      </c>
      <c r="N59" s="24">
        <v>0</v>
      </c>
      <c r="O59" s="24">
        <v>0</v>
      </c>
      <c r="P59" s="24">
        <f t="shared" si="8"/>
        <v>16647.990000000002</v>
      </c>
    </row>
    <row r="60" spans="1:16" x14ac:dyDescent="0.25">
      <c r="A60" s="5" t="s">
        <v>49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5" t="s">
        <v>51</v>
      </c>
      <c r="B62" s="24">
        <v>0</v>
      </c>
      <c r="C62" s="24">
        <v>40000</v>
      </c>
      <c r="D62" s="24">
        <v>0</v>
      </c>
      <c r="E62" s="24">
        <v>0</v>
      </c>
      <c r="F62" s="24">
        <v>40000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f>SUM(D62:O62)</f>
        <v>40000</v>
      </c>
    </row>
    <row r="63" spans="1:16" x14ac:dyDescent="0.25">
      <c r="A63" s="5" t="s">
        <v>52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3" t="s">
        <v>53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x14ac:dyDescent="0.25">
      <c r="A65" s="5" t="s">
        <v>54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5" t="s">
        <v>56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5" t="s">
        <v>57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3" t="s">
        <v>58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5" t="s">
        <v>59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5" t="s">
        <v>60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3" t="s">
        <v>61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x14ac:dyDescent="0.25">
      <c r="A73" s="5" t="s">
        <v>62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5" t="s">
        <v>63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5" t="s">
        <v>64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x14ac:dyDescent="0.25">
      <c r="A76" s="1" t="s">
        <v>67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25">
      <c r="A77" s="3" t="s">
        <v>68</v>
      </c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x14ac:dyDescent="0.25">
      <c r="A78" s="5" t="s">
        <v>69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5" t="s">
        <v>70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3" t="s">
        <v>71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5">
      <c r="A81" s="5" t="s">
        <v>72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3" t="s">
        <v>74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1:16" x14ac:dyDescent="0.25">
      <c r="A85" s="9" t="s">
        <v>65</v>
      </c>
      <c r="B85" s="28">
        <f>B54+B38+B28+B18+B12</f>
        <v>311699277</v>
      </c>
      <c r="C85" s="28">
        <f>C54+C38+C28+C18+C12</f>
        <v>314313895</v>
      </c>
      <c r="D85" s="28">
        <f t="shared" ref="D85:P85" si="9">D54+D38+D28+D18+D12</f>
        <v>19181413.640000001</v>
      </c>
      <c r="E85" s="28">
        <f t="shared" si="9"/>
        <v>19650295.649999999</v>
      </c>
      <c r="F85" s="28">
        <f t="shared" si="9"/>
        <v>23135808.469999999</v>
      </c>
      <c r="G85" s="28">
        <f t="shared" si="9"/>
        <v>32521576.899999999</v>
      </c>
      <c r="H85" s="28">
        <f t="shared" si="9"/>
        <v>19743243.73</v>
      </c>
      <c r="I85" s="28">
        <f t="shared" si="9"/>
        <v>27331415.18</v>
      </c>
      <c r="J85" s="28">
        <f t="shared" si="9"/>
        <v>21207148.729999997</v>
      </c>
      <c r="K85" s="28">
        <f t="shared" si="9"/>
        <v>22865481.84</v>
      </c>
      <c r="L85" s="28">
        <f t="shared" si="9"/>
        <v>21839522.75</v>
      </c>
      <c r="M85" s="28">
        <f t="shared" si="9"/>
        <v>0</v>
      </c>
      <c r="N85" s="28">
        <f t="shared" si="9"/>
        <v>0</v>
      </c>
      <c r="O85" s="28">
        <f t="shared" si="9"/>
        <v>0</v>
      </c>
      <c r="P85" s="28">
        <f t="shared" si="9"/>
        <v>207475906.88999996</v>
      </c>
    </row>
    <row r="86" spans="1:16" x14ac:dyDescent="0.25">
      <c r="A86" s="38" t="s">
        <v>112</v>
      </c>
      <c r="B86" s="39"/>
    </row>
    <row r="91" spans="1:16" ht="13.5" customHeight="1" x14ac:dyDescent="0.3">
      <c r="A91" s="31"/>
      <c r="B91" s="30"/>
      <c r="C91" s="30"/>
      <c r="D91" s="30"/>
      <c r="E91" s="31"/>
      <c r="F91" s="32"/>
      <c r="H91" s="33"/>
      <c r="I91" s="30"/>
    </row>
    <row r="92" spans="1:16" ht="36" customHeight="1" x14ac:dyDescent="0.25"/>
    <row r="93" spans="1:16" ht="18.75" x14ac:dyDescent="0.3">
      <c r="A93" s="31"/>
      <c r="B93" s="31" t="s">
        <v>101</v>
      </c>
      <c r="C93" s="30"/>
      <c r="D93" s="30"/>
      <c r="E93" s="30"/>
      <c r="F93" s="31" t="s">
        <v>102</v>
      </c>
      <c r="H93" s="32"/>
      <c r="J93" s="33"/>
      <c r="K93" s="30"/>
    </row>
    <row r="94" spans="1:16" ht="18.75" x14ac:dyDescent="0.3">
      <c r="A94" s="34"/>
      <c r="B94" s="34" t="s">
        <v>103</v>
      </c>
      <c r="C94" s="32"/>
      <c r="D94" s="30"/>
      <c r="E94" s="30"/>
      <c r="F94" s="34" t="s">
        <v>103</v>
      </c>
      <c r="H94" s="34"/>
      <c r="I94" s="30"/>
      <c r="J94" s="30"/>
      <c r="K94" s="30"/>
    </row>
    <row r="95" spans="1:16" ht="18.75" x14ac:dyDescent="0.3">
      <c r="A95" s="32"/>
      <c r="B95" s="32" t="s">
        <v>104</v>
      </c>
      <c r="C95" s="32"/>
      <c r="D95" s="30"/>
      <c r="E95" s="30"/>
      <c r="F95" s="32" t="s">
        <v>105</v>
      </c>
      <c r="G95" s="48" t="s">
        <v>107</v>
      </c>
      <c r="H95" s="48"/>
      <c r="I95" s="48"/>
      <c r="J95" s="48"/>
      <c r="K95" s="30"/>
    </row>
    <row r="96" spans="1:16" ht="18.75" x14ac:dyDescent="0.3">
      <c r="A96" s="32"/>
      <c r="B96" s="32" t="s">
        <v>106</v>
      </c>
      <c r="C96" s="32"/>
      <c r="D96" s="30"/>
      <c r="E96" s="30"/>
      <c r="F96" s="32" t="s">
        <v>108</v>
      </c>
      <c r="H96" s="32"/>
      <c r="I96" s="30"/>
      <c r="J96" s="30"/>
      <c r="K96" s="30"/>
    </row>
    <row r="97" spans="2:11" ht="18.75" x14ac:dyDescent="0.3">
      <c r="D97" s="30"/>
      <c r="E97" s="30"/>
      <c r="F97" s="30"/>
      <c r="H97" s="30"/>
      <c r="I97" s="30"/>
      <c r="J97" s="30"/>
      <c r="K97" s="30"/>
    </row>
    <row r="98" spans="2:11" ht="18.75" x14ac:dyDescent="0.25">
      <c r="B98" s="32"/>
    </row>
  </sheetData>
  <mergeCells count="10">
    <mergeCell ref="G95:J95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66" zoomScaleNormal="100" workbookViewId="0">
      <selection activeCell="L17" sqref="L1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2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14606610.34</v>
      </c>
      <c r="J10" s="25">
        <f t="shared" si="0"/>
        <v>14413861.949999999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144314027.71999997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12426664.609999999</v>
      </c>
      <c r="J11" s="24">
        <v>12300509.1</v>
      </c>
      <c r="K11" s="24">
        <v>0</v>
      </c>
      <c r="L11" s="24">
        <v>0</v>
      </c>
      <c r="M11" s="24">
        <v>0</v>
      </c>
      <c r="N11" s="24">
        <f>SUM(B11:M11)</f>
        <v>124955902.13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0</v>
      </c>
      <c r="L12" s="24">
        <v>0</v>
      </c>
      <c r="M12" s="24">
        <v>0</v>
      </c>
      <c r="N12" s="24">
        <f>SUM(B12:M12)</f>
        <v>2953500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1846445.73</v>
      </c>
      <c r="J15" s="24">
        <v>1779852.85</v>
      </c>
      <c r="K15" s="24">
        <v>0</v>
      </c>
      <c r="L15" s="24">
        <v>0</v>
      </c>
      <c r="M15" s="24">
        <v>0</v>
      </c>
      <c r="N15" s="24">
        <f>SUM(B15:M15)</f>
        <v>16404625.59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5899027.2999999989</v>
      </c>
      <c r="I16" s="25">
        <f t="shared" si="1"/>
        <v>7031406.9400000004</v>
      </c>
      <c r="J16" s="25">
        <f>J17+J18+J19+J20+J21+J22+J23+J24+J25</f>
        <v>6198859.5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53074501.659999996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2378982.2200000002</v>
      </c>
      <c r="J17" s="24">
        <v>2211523.48</v>
      </c>
      <c r="K17" s="24">
        <v>0</v>
      </c>
      <c r="L17" s="24">
        <v>0</v>
      </c>
      <c r="M17" s="24">
        <v>0</v>
      </c>
      <c r="N17" s="24">
        <f>SUM(B17:M17)</f>
        <v>21408109.219999999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16940</v>
      </c>
      <c r="J18" s="24">
        <v>14876.26</v>
      </c>
      <c r="K18" s="24">
        <v>0</v>
      </c>
      <c r="L18" s="24">
        <v>0</v>
      </c>
      <c r="M18" s="24">
        <v>0</v>
      </c>
      <c r="N18" s="24">
        <f t="shared" ref="N18:N23" si="3">SUM(B18:M18)</f>
        <v>33316.26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341767.5</v>
      </c>
      <c r="I19" s="24">
        <v>172490</v>
      </c>
      <c r="J19" s="24">
        <v>501507.5</v>
      </c>
      <c r="K19" s="24">
        <v>0</v>
      </c>
      <c r="L19" s="24">
        <v>0</v>
      </c>
      <c r="M19" s="24">
        <v>0</v>
      </c>
      <c r="N19" s="24">
        <f t="shared" si="3"/>
        <v>1558012.5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139000</v>
      </c>
      <c r="J20" s="24">
        <v>85010.240000000005</v>
      </c>
      <c r="K20" s="24">
        <v>0</v>
      </c>
      <c r="L20" s="24">
        <v>0</v>
      </c>
      <c r="M20" s="24">
        <v>0</v>
      </c>
      <c r="N20" s="24">
        <f t="shared" si="3"/>
        <v>224010.23999999999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2714921.83</v>
      </c>
      <c r="J21" s="24">
        <v>1254532.27</v>
      </c>
      <c r="K21" s="24">
        <v>0</v>
      </c>
      <c r="L21" s="24">
        <v>0</v>
      </c>
      <c r="M21" s="24">
        <v>0</v>
      </c>
      <c r="N21" s="24">
        <f t="shared" si="3"/>
        <v>13252664.26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1175041.5</v>
      </c>
      <c r="J22" s="24">
        <v>1231530.01</v>
      </c>
      <c r="K22" s="24">
        <v>0</v>
      </c>
      <c r="L22" s="24">
        <v>0</v>
      </c>
      <c r="M22" s="24">
        <v>0</v>
      </c>
      <c r="N22" s="24">
        <f t="shared" si="3"/>
        <v>11544822.549999999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126800</v>
      </c>
      <c r="J23" s="24">
        <v>601564.30000000005</v>
      </c>
      <c r="K23" s="24">
        <v>0</v>
      </c>
      <c r="L23" s="24">
        <v>0</v>
      </c>
      <c r="M23" s="24">
        <v>0</v>
      </c>
      <c r="N23" s="24">
        <f t="shared" si="3"/>
        <v>2030350.7000000002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60022</v>
      </c>
      <c r="J24" s="24">
        <v>86836.32</v>
      </c>
      <c r="K24" s="24">
        <v>0</v>
      </c>
      <c r="L24" s="24">
        <v>0</v>
      </c>
      <c r="M24" s="24">
        <v>0</v>
      </c>
      <c r="N24" s="24">
        <f>SUM(B24:M24)</f>
        <v>983150.03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247209.39</v>
      </c>
      <c r="J25" s="24">
        <v>211479.12</v>
      </c>
      <c r="K25" s="24">
        <v>0</v>
      </c>
      <c r="L25" s="24">
        <v>0</v>
      </c>
      <c r="M25" s="24">
        <v>0</v>
      </c>
      <c r="N25" s="24">
        <f>SUM(B25:M25)</f>
        <v>2040065.9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1108833.02</v>
      </c>
      <c r="J26" s="25">
        <f t="shared" si="4"/>
        <v>1226801.3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8999286.3399999999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28880</v>
      </c>
      <c r="J27" s="24">
        <v>191111.62</v>
      </c>
      <c r="K27" s="24">
        <v>0</v>
      </c>
      <c r="L27" s="24">
        <v>0</v>
      </c>
      <c r="M27" s="24">
        <v>0</v>
      </c>
      <c r="N27" s="24">
        <f t="shared" ref="N27:N37" si="5">SUM(B27:M27)</f>
        <v>504514.36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777.9</v>
      </c>
      <c r="K28" s="24">
        <v>0</v>
      </c>
      <c r="L28" s="24">
        <v>0</v>
      </c>
      <c r="M28" s="24">
        <v>0</v>
      </c>
      <c r="N28" s="24">
        <f t="shared" si="5"/>
        <v>113708.48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3100</v>
      </c>
      <c r="J29" s="24">
        <v>252157.83</v>
      </c>
      <c r="K29" s="24">
        <v>0</v>
      </c>
      <c r="L29" s="24">
        <v>0</v>
      </c>
      <c r="M29" s="24">
        <v>0</v>
      </c>
      <c r="N29" s="24">
        <f t="shared" si="5"/>
        <v>369369.23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14750.72</v>
      </c>
      <c r="K31" s="24">
        <v>0</v>
      </c>
      <c r="L31" s="24">
        <v>0</v>
      </c>
      <c r="M31" s="24">
        <v>0</v>
      </c>
      <c r="N31" s="24">
        <f t="shared" si="5"/>
        <v>162537.46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4036.78</v>
      </c>
      <c r="J32" s="24">
        <v>30719.26</v>
      </c>
      <c r="K32" s="24">
        <v>0</v>
      </c>
      <c r="L32" s="24">
        <v>0</v>
      </c>
      <c r="M32" s="24">
        <v>0</v>
      </c>
      <c r="N32" s="24">
        <f t="shared" si="5"/>
        <v>165662.98000000001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913515.72</v>
      </c>
      <c r="J33" s="24">
        <v>486175.53</v>
      </c>
      <c r="K33" s="24">
        <v>0</v>
      </c>
      <c r="L33" s="24">
        <v>0</v>
      </c>
      <c r="M33" s="24">
        <v>0</v>
      </c>
      <c r="N33" s="24">
        <f t="shared" si="5"/>
        <v>6578953.4199999999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159300.51999999999</v>
      </c>
      <c r="J35" s="24">
        <v>251108.44</v>
      </c>
      <c r="K35" s="24">
        <v>0</v>
      </c>
      <c r="L35" s="24">
        <v>0</v>
      </c>
      <c r="M35" s="24">
        <v>0</v>
      </c>
      <c r="N35" s="24">
        <f t="shared" si="5"/>
        <v>1104540.4099999999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I53+I57</f>
        <v>118631.54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1064091.17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103291.54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1007443.18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15340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16647.990000000002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21207148.729999997</v>
      </c>
      <c r="I83" s="26">
        <f>I52+I26+I16+I10</f>
        <v>22865481.84</v>
      </c>
      <c r="J83" s="26">
        <f>J52+J26+J16+J10</f>
        <v>21839522.75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207475906.88999996</v>
      </c>
    </row>
    <row r="84" spans="1:14" x14ac:dyDescent="0.25">
      <c r="A84" s="38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2025-10-01T18:45:58Z</cp:lastPrinted>
  <dcterms:created xsi:type="dcterms:W3CDTF">2021-07-29T18:58:50Z</dcterms:created>
  <dcterms:modified xsi:type="dcterms:W3CDTF">2025-10-07T19:06:50Z</dcterms:modified>
</cp:coreProperties>
</file>