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2025\Financiero\Agosto\"/>
    </mc:Choice>
  </mc:AlternateContent>
  <xr:revisionPtr revIDLastSave="0" documentId="13_ncr:1_{2EDC7681-C2DA-4000-8179-4CB3820CE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'!$1:$9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3" l="1"/>
  <c r="K36" i="2"/>
  <c r="K34" i="2"/>
  <c r="K33" i="2"/>
  <c r="K25" i="2"/>
  <c r="K24" i="2"/>
  <c r="K22" i="2"/>
  <c r="K18" i="2"/>
  <c r="K12" i="2"/>
  <c r="K16" i="2"/>
  <c r="I26" i="2"/>
  <c r="J36" i="2"/>
  <c r="J25" i="2"/>
  <c r="J22" i="2"/>
  <c r="J18" i="2"/>
  <c r="J16" i="2"/>
  <c r="I36" i="2"/>
  <c r="I34" i="2"/>
  <c r="I33" i="2"/>
  <c r="I22" i="2"/>
  <c r="I18" i="2"/>
  <c r="I12" i="2"/>
  <c r="I16" i="2"/>
  <c r="H36" i="2" l="1"/>
  <c r="H34" i="2"/>
  <c r="H33" i="2"/>
  <c r="H22" i="2"/>
  <c r="H25" i="2"/>
  <c r="H23" i="2"/>
  <c r="H18" i="2"/>
  <c r="H12" i="2"/>
  <c r="H16" i="2"/>
  <c r="E16" i="3"/>
  <c r="E21" i="3"/>
  <c r="H17" i="2" l="1"/>
  <c r="G36" i="2"/>
  <c r="G25" i="2"/>
  <c r="G23" i="2"/>
  <c r="G18" i="2"/>
  <c r="G16" i="2"/>
  <c r="P61" i="2" l="1"/>
  <c r="F53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5" i="2"/>
  <c r="E18" i="2" l="1"/>
  <c r="E16" i="2"/>
  <c r="E12" i="2"/>
  <c r="D18" i="2"/>
  <c r="D12" i="2"/>
  <c r="D16" i="2"/>
  <c r="E54" i="1"/>
  <c r="L16" i="3" l="1"/>
  <c r="L52" i="3"/>
  <c r="N55" i="3"/>
  <c r="N61" i="3"/>
  <c r="N60" i="3"/>
  <c r="N59" i="3"/>
  <c r="N58" i="3"/>
  <c r="N53" i="2"/>
  <c r="N17" i="2"/>
  <c r="J52" i="3"/>
  <c r="J26" i="3"/>
  <c r="J16" i="3"/>
  <c r="L53" i="2"/>
  <c r="L17" i="2"/>
  <c r="C53" i="2"/>
  <c r="G16" i="3"/>
  <c r="G52" i="3"/>
  <c r="I17" i="2"/>
  <c r="G26" i="3" l="1"/>
  <c r="F26" i="3"/>
  <c r="F52" i="3"/>
  <c r="F16" i="3"/>
  <c r="H53" i="2"/>
  <c r="P38" i="2"/>
  <c r="E26" i="3"/>
  <c r="G17" i="2" l="1"/>
  <c r="E17" i="2"/>
  <c r="E18" i="1" l="1"/>
  <c r="F17" i="2"/>
  <c r="N37" i="3" l="1"/>
  <c r="D16" i="3"/>
  <c r="B16" i="3" l="1"/>
  <c r="B11" i="2"/>
  <c r="D17" i="2"/>
  <c r="C16" i="3"/>
  <c r="D28" i="1"/>
  <c r="D12" i="1"/>
  <c r="M16" i="3"/>
  <c r="M26" i="3"/>
  <c r="M52" i="3"/>
  <c r="O17" i="2"/>
  <c r="K26" i="3"/>
  <c r="P35" i="2"/>
  <c r="P58" i="2"/>
  <c r="P57" i="2"/>
  <c r="P56" i="2"/>
  <c r="H16" i="3" l="1"/>
  <c r="H52" i="3"/>
  <c r="H26" i="3"/>
  <c r="J17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7" i="2"/>
  <c r="D18" i="1" l="1"/>
  <c r="M10" i="3"/>
  <c r="O53" i="2"/>
  <c r="C37" i="2"/>
  <c r="C17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5" i="2"/>
  <c r="P54" i="2"/>
  <c r="M53" i="2"/>
  <c r="K53" i="2"/>
  <c r="J53" i="2"/>
  <c r="I53" i="2"/>
  <c r="P30" i="2"/>
  <c r="P36" i="2"/>
  <c r="P34" i="2"/>
  <c r="P33" i="2"/>
  <c r="P32" i="2"/>
  <c r="P31" i="2"/>
  <c r="P29" i="2"/>
  <c r="P28" i="2"/>
  <c r="P26" i="2"/>
  <c r="P24" i="2"/>
  <c r="P21" i="2"/>
  <c r="P20" i="2"/>
  <c r="P19" i="2"/>
  <c r="K17" i="2"/>
  <c r="P25" i="2"/>
  <c r="P23" i="2"/>
  <c r="P22" i="2"/>
  <c r="P18" i="2"/>
  <c r="P16" i="2"/>
  <c r="P13" i="2"/>
  <c r="P12" i="2"/>
  <c r="G53" i="2"/>
  <c r="E53" i="2"/>
  <c r="D53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O27" i="2"/>
  <c r="N27" i="2"/>
  <c r="M27" i="2"/>
  <c r="L27" i="2"/>
  <c r="K27" i="2"/>
  <c r="J27" i="2"/>
  <c r="I27" i="2"/>
  <c r="H27" i="2"/>
  <c r="G27" i="2"/>
  <c r="F27" i="2"/>
  <c r="E27" i="2"/>
  <c r="D27" i="2"/>
  <c r="M17" i="2"/>
  <c r="O11" i="2"/>
  <c r="N11" i="2"/>
  <c r="M11" i="2"/>
  <c r="L11" i="2"/>
  <c r="K11" i="2"/>
  <c r="J11" i="2"/>
  <c r="I11" i="2"/>
  <c r="H11" i="2"/>
  <c r="G11" i="2"/>
  <c r="F11" i="2"/>
  <c r="E11" i="2"/>
  <c r="D11" i="2"/>
  <c r="B53" i="2"/>
  <c r="B37" i="2"/>
  <c r="C27" i="2"/>
  <c r="B27" i="2"/>
  <c r="C11" i="2"/>
  <c r="C84" i="2" l="1"/>
  <c r="P11" i="2"/>
  <c r="K83" i="3"/>
  <c r="E83" i="3"/>
  <c r="C83" i="3"/>
  <c r="B83" i="3"/>
  <c r="M83" i="3"/>
  <c r="L83" i="3"/>
  <c r="B84" i="2"/>
  <c r="P53" i="2"/>
  <c r="I83" i="3"/>
  <c r="N26" i="3"/>
  <c r="N10" i="3"/>
  <c r="N16" i="3"/>
  <c r="N52" i="3"/>
  <c r="P27" i="2"/>
  <c r="F84" i="2"/>
  <c r="G84" i="2"/>
  <c r="P17" i="2"/>
  <c r="O84" i="2"/>
  <c r="I84" i="2"/>
  <c r="M84" i="2"/>
  <c r="N84" i="2"/>
  <c r="H84" i="2"/>
  <c r="L84" i="2"/>
  <c r="K84" i="2"/>
  <c r="J84" i="2"/>
  <c r="E84" i="2"/>
  <c r="D84" i="2"/>
  <c r="D54" i="1"/>
  <c r="E38" i="1"/>
  <c r="D38" i="1"/>
  <c r="E28" i="1"/>
  <c r="E12" i="1"/>
  <c r="E85" i="1" l="1"/>
  <c r="N83" i="3"/>
  <c r="D85" i="1"/>
  <c r="P84" i="2"/>
</calcChain>
</file>

<file path=xl/sharedStrings.xml><?xml version="1.0" encoding="utf-8"?>
<sst xmlns="http://schemas.openxmlformats.org/spreadsheetml/2006/main" count="292" uniqueCount="113">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</sst>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left" wrapText="1" indent="2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466726</xdr:colOff>
      <xdr:row>1</xdr:row>
      <xdr:rowOff>152400</xdr:rowOff>
    </xdr:from>
    <xdr:to>
      <xdr:col>15</xdr:col>
      <xdr:colOff>609601</xdr:colOff>
      <xdr:row>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049376" y="342900"/>
          <a:ext cx="17335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9526</xdr:colOff>
      <xdr:row>1</xdr:row>
      <xdr:rowOff>142875</xdr:rowOff>
    </xdr:from>
    <xdr:to>
      <xdr:col>15</xdr:col>
      <xdr:colOff>544987</xdr:colOff>
      <xdr:row>5</xdr:row>
      <xdr:rowOff>154575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6051" y="3333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abSelected="1" workbookViewId="0">
      <selection activeCell="I54" sqref="I54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111</v>
      </c>
      <c r="D3" s="4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98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2025</v>
      </c>
      <c r="D5" s="47"/>
      <c r="E5" s="4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80552790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900000</v>
      </c>
      <c r="F22" s="8"/>
    </row>
    <row r="23" spans="3:6" x14ac:dyDescent="0.25">
      <c r="C23" s="5" t="s">
        <v>12</v>
      </c>
      <c r="D23" s="6">
        <v>23404000</v>
      </c>
      <c r="E23" s="6">
        <v>23036225</v>
      </c>
    </row>
    <row r="24" spans="3:6" x14ac:dyDescent="0.25">
      <c r="C24" s="5" t="s">
        <v>13</v>
      </c>
      <c r="D24" s="6">
        <v>14670500</v>
      </c>
      <c r="E24" s="6">
        <v>14270500</v>
      </c>
    </row>
    <row r="25" spans="3:6" x14ac:dyDescent="0.25">
      <c r="C25" s="5" t="s">
        <v>14</v>
      </c>
      <c r="D25" s="6">
        <v>2820000</v>
      </c>
      <c r="E25" s="6">
        <v>4870000</v>
      </c>
    </row>
    <row r="26" spans="3:6" x14ac:dyDescent="0.25">
      <c r="C26" s="5" t="s">
        <v>15</v>
      </c>
      <c r="D26" s="6">
        <v>1635000</v>
      </c>
      <c r="E26" s="6">
        <v>2635775</v>
      </c>
    </row>
    <row r="27" spans="3:6" x14ac:dyDescent="0.25">
      <c r="C27" s="5" t="s">
        <v>16</v>
      </c>
      <c r="D27" s="6">
        <v>3280000</v>
      </c>
      <c r="E27" s="6">
        <v>3473200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14846989</v>
      </c>
    </row>
    <row r="29" spans="3:6" x14ac:dyDescent="0.25">
      <c r="C29" s="5" t="s">
        <v>18</v>
      </c>
      <c r="D29" s="6">
        <v>665000</v>
      </c>
      <c r="E29" s="6">
        <v>592000</v>
      </c>
    </row>
    <row r="30" spans="3:6" x14ac:dyDescent="0.25">
      <c r="C30" s="5" t="s">
        <v>19</v>
      </c>
      <c r="D30" s="6">
        <v>125000</v>
      </c>
      <c r="E30" s="6">
        <v>293300</v>
      </c>
    </row>
    <row r="31" spans="3:6" x14ac:dyDescent="0.25">
      <c r="C31" s="5" t="s">
        <v>20</v>
      </c>
      <c r="D31" s="6">
        <v>475000</v>
      </c>
      <c r="E31" s="6">
        <v>307500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305500</v>
      </c>
    </row>
    <row r="34" spans="3:5" x14ac:dyDescent="0.25">
      <c r="C34" s="5" t="s">
        <v>23</v>
      </c>
      <c r="D34" s="6">
        <v>305002</v>
      </c>
      <c r="E34" s="6">
        <v>363002</v>
      </c>
    </row>
    <row r="35" spans="3:5" x14ac:dyDescent="0.25">
      <c r="C35" s="5" t="s">
        <v>24</v>
      </c>
      <c r="D35" s="6">
        <v>11100000</v>
      </c>
      <c r="E35" s="6">
        <v>11326000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1659687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1347500</v>
      </c>
    </row>
    <row r="55" spans="3:5" x14ac:dyDescent="0.25">
      <c r="C55" s="5" t="s">
        <v>44</v>
      </c>
      <c r="D55" s="6">
        <v>650000</v>
      </c>
      <c r="E55" s="6">
        <v>1260000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47500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314399277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1"/>
  <sheetViews>
    <sheetView showGridLines="0" topLeftCell="A108" workbookViewId="0">
      <selection activeCell="B86" sqref="B86"/>
    </sheetView>
  </sheetViews>
  <sheetFormatPr defaultColWidth="11.42578125" defaultRowHeight="15" x14ac:dyDescent="0.25"/>
  <cols>
    <col min="1" max="1" width="58" customWidth="1"/>
    <col min="2" max="2" width="17.85546875" customWidth="1"/>
    <col min="3" max="3" width="14.5703125" customWidth="1"/>
    <col min="4" max="4" width="12.85546875" customWidth="1"/>
    <col min="5" max="5" width="13.57031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7.5703125" customWidth="1"/>
    <col min="13" max="13" width="7.85546875" customWidth="1"/>
    <col min="14" max="14" width="7.7109375" customWidth="1"/>
    <col min="15" max="15" width="8.28515625" customWidth="1"/>
    <col min="16" max="16" width="14.140625" customWidth="1"/>
  </cols>
  <sheetData>
    <row r="2" spans="1:17" ht="28.5" customHeight="1" x14ac:dyDescent="0.25">
      <c r="A2" s="52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ht="21" customHeight="1" x14ac:dyDescent="0.25">
      <c r="A3" s="54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15.75" x14ac:dyDescent="0.25">
      <c r="A4" s="46">
        <v>2025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7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4.5" customHeight="1" x14ac:dyDescent="0.25"/>
    <row r="8" spans="1:17" ht="25.5" customHeight="1" x14ac:dyDescent="0.25">
      <c r="A8" s="56" t="s">
        <v>66</v>
      </c>
      <c r="B8" s="44" t="s">
        <v>94</v>
      </c>
      <c r="C8" s="44" t="s">
        <v>93</v>
      </c>
      <c r="D8" s="49" t="s">
        <v>91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9" spans="1:17" x14ac:dyDescent="0.25">
      <c r="A9" s="56"/>
      <c r="B9" s="45"/>
      <c r="C9" s="45"/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25">
        <f>B12+B13+B16</f>
        <v>217601998</v>
      </c>
      <c r="C11" s="25">
        <f>C12+C13+C16</f>
        <v>217601998</v>
      </c>
      <c r="D11" s="25">
        <f t="shared" ref="D11:O11" si="0">D12+D13+D16</f>
        <v>14442586.75</v>
      </c>
      <c r="E11" s="25">
        <f t="shared" si="0"/>
        <v>14350642.969999999</v>
      </c>
      <c r="F11" s="25">
        <f t="shared" si="0"/>
        <v>16190801.01</v>
      </c>
      <c r="G11" s="25">
        <f t="shared" si="0"/>
        <v>27027152.419999998</v>
      </c>
      <c r="H11" s="25">
        <f t="shared" si="0"/>
        <v>14161002.27</v>
      </c>
      <c r="I11" s="25">
        <f t="shared" si="0"/>
        <v>14633628.659999998</v>
      </c>
      <c r="J11" s="25">
        <f t="shared" si="0"/>
        <v>14487741.35</v>
      </c>
      <c r="K11" s="25">
        <f t="shared" si="0"/>
        <v>14606610.34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SUM(D11:O11)</f>
        <v>129900165.76999998</v>
      </c>
    </row>
    <row r="12" spans="1:17" x14ac:dyDescent="0.25">
      <c r="A12" s="5" t="s">
        <v>2</v>
      </c>
      <c r="B12" s="24">
        <v>166834000</v>
      </c>
      <c r="C12" s="24">
        <v>166834000</v>
      </c>
      <c r="D12" s="24">
        <f>12263814.61+22000</f>
        <v>12285814.609999999</v>
      </c>
      <c r="E12" s="24">
        <f>12196731.28+9333.33</f>
        <v>12206064.609999999</v>
      </c>
      <c r="F12" s="24">
        <v>14036483.119999999</v>
      </c>
      <c r="G12" s="24">
        <v>24873991.829999998</v>
      </c>
      <c r="H12" s="24">
        <f>11968631.28+20000+29072.45</f>
        <v>12017703.729999999</v>
      </c>
      <c r="I12" s="24">
        <f>12006464.61+20000+18515+439840.79</f>
        <v>12484820.399999999</v>
      </c>
      <c r="J12" s="24">
        <v>12323850.119999999</v>
      </c>
      <c r="K12" s="24">
        <f>12234664.61+192000</f>
        <v>12426664.609999999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112655393.02999999</v>
      </c>
    </row>
    <row r="13" spans="1:17" x14ac:dyDescent="0.25">
      <c r="A13" s="5" t="s">
        <v>3</v>
      </c>
      <c r="B13" s="24">
        <v>28302000</v>
      </c>
      <c r="C13" s="24">
        <v>28302000</v>
      </c>
      <c r="D13" s="24">
        <v>309500</v>
      </c>
      <c r="E13" s="24">
        <v>309500</v>
      </c>
      <c r="F13" s="24">
        <v>333500</v>
      </c>
      <c r="G13" s="24">
        <v>333500</v>
      </c>
      <c r="H13" s="24">
        <v>333500</v>
      </c>
      <c r="I13" s="24">
        <v>333500</v>
      </c>
      <c r="J13" s="24">
        <v>333500</v>
      </c>
      <c r="K13" s="24">
        <v>333500</v>
      </c>
      <c r="L13" s="24">
        <v>0</v>
      </c>
      <c r="M13" s="24">
        <v>0</v>
      </c>
      <c r="N13" s="24">
        <v>0</v>
      </c>
      <c r="O13" s="24">
        <v>0</v>
      </c>
      <c r="P13" s="24">
        <f>SUM(D13:O13)</f>
        <v>2620000</v>
      </c>
    </row>
    <row r="14" spans="1:17" x14ac:dyDescent="0.25">
      <c r="A14" s="5" t="s">
        <v>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7"/>
    </row>
    <row r="15" spans="1:17" x14ac:dyDescent="0.25">
      <c r="A15" s="5" t="s">
        <v>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x14ac:dyDescent="0.25">
      <c r="A16" s="5" t="s">
        <v>6</v>
      </c>
      <c r="B16" s="24">
        <v>22465998</v>
      </c>
      <c r="C16" s="24">
        <v>22465998</v>
      </c>
      <c r="D16" s="24">
        <f>864160.42+872292.83+110818.89</f>
        <v>1847272.14</v>
      </c>
      <c r="E16" s="24">
        <f>858506.14+866630.58+109941.64</f>
        <v>1835078.3599999999</v>
      </c>
      <c r="F16" s="24">
        <v>1820817.89</v>
      </c>
      <c r="G16" s="24">
        <f>851146+855772.31+112742.28</f>
        <v>1819660.59</v>
      </c>
      <c r="H16" s="24">
        <f>846572.95+851192.81+112032.78</f>
        <v>1809798.54</v>
      </c>
      <c r="I16" s="24">
        <f>849255.33+853878.98+112173.95</f>
        <v>1815308.26</v>
      </c>
      <c r="J16" s="24">
        <f>856572.21+861206.18+112612.84</f>
        <v>1830391.2300000002</v>
      </c>
      <c r="K16" s="24">
        <f>864016.71+868661.18+113767.84</f>
        <v>1846445.7300000002</v>
      </c>
      <c r="L16" s="24">
        <v>0</v>
      </c>
      <c r="M16" s="24">
        <v>0</v>
      </c>
      <c r="N16" s="24">
        <v>0</v>
      </c>
      <c r="O16" s="24">
        <v>0</v>
      </c>
      <c r="P16" s="24">
        <f t="shared" ref="P16:P26" si="1">SUM(D16:O16)</f>
        <v>14624772.74</v>
      </c>
    </row>
    <row r="17" spans="1:16" x14ac:dyDescent="0.25">
      <c r="A17" s="3" t="s">
        <v>7</v>
      </c>
      <c r="B17" s="25">
        <f t="shared" ref="B17:G17" si="2">B18+B19+B20+B21+B22+B23+B24+B25+B26</f>
        <v>78896590</v>
      </c>
      <c r="C17" s="25">
        <f t="shared" si="2"/>
        <v>80467408</v>
      </c>
      <c r="D17" s="25">
        <f t="shared" si="2"/>
        <v>4013686.89</v>
      </c>
      <c r="E17" s="25">
        <f t="shared" si="2"/>
        <v>4564432.68</v>
      </c>
      <c r="F17" s="25">
        <f t="shared" si="2"/>
        <v>4875188.9699999988</v>
      </c>
      <c r="G17" s="25">
        <f t="shared" si="2"/>
        <v>4934694.6399999997</v>
      </c>
      <c r="H17" s="25">
        <f>H18+H19+H20+H21+H22+H23+H24+H25+H26</f>
        <v>4598395.13</v>
      </c>
      <c r="I17" s="25">
        <f>I18+I19+I20+I21+I22+I23+I24+I25+I26</f>
        <v>10958809.609999999</v>
      </c>
      <c r="J17" s="25">
        <f>J18+J19+J20+J21+J22+J23+J24+J25+J26</f>
        <v>5899027.2999999989</v>
      </c>
      <c r="K17" s="25">
        <f>K18+K19+K20+K21+K22+K23+K24+K25+K26</f>
        <v>7031406.9400000004</v>
      </c>
      <c r="L17" s="25">
        <f>L18+L19+L20+L21+L22+L23+L24+L25+L26</f>
        <v>0</v>
      </c>
      <c r="M17" s="25">
        <f t="shared" ref="M17" si="3">M18+M19+M20+M21+M22+M23+M24+M25</f>
        <v>0</v>
      </c>
      <c r="N17" s="25">
        <f>N18+N19+N20+N21+N22+N23+N24+N25+N26</f>
        <v>0</v>
      </c>
      <c r="O17" s="25">
        <f>O18+O19+O20+O21+O22+O23+O24+O25+O26</f>
        <v>0</v>
      </c>
      <c r="P17" s="25">
        <f t="shared" si="1"/>
        <v>46875642.159999996</v>
      </c>
    </row>
    <row r="18" spans="1:16" x14ac:dyDescent="0.25">
      <c r="A18" s="5" t="s">
        <v>8</v>
      </c>
      <c r="B18" s="24">
        <v>27452090</v>
      </c>
      <c r="C18" s="24">
        <v>27452090</v>
      </c>
      <c r="D18" s="24">
        <f>815947.89+253249.86+1011994.48+617383.3</f>
        <v>2698575.5300000003</v>
      </c>
      <c r="E18" s="24">
        <f>447933.82+404945.9+1665584.79+571326.66+27615+12329</f>
        <v>3129735.17</v>
      </c>
      <c r="F18" s="24">
        <v>2282632.04</v>
      </c>
      <c r="G18" s="24">
        <f>464494.54+191075.86+914219.55+572706.61+7541+2177</f>
        <v>2152214.56</v>
      </c>
      <c r="H18" s="24">
        <f>453154.61+191322.35+919243.32+558269.96+10270+2780</f>
        <v>2135040.2399999998</v>
      </c>
      <c r="I18" s="24">
        <f>477888.97+197435.31+923194+576243.55+4183+1610</f>
        <v>2180554.83</v>
      </c>
      <c r="J18" s="24">
        <f>469944.2+176144.03+1034079.06+540107.86+10036+8540</f>
        <v>2238851.15</v>
      </c>
      <c r="K18" s="24">
        <f>637265.63+333034.91+829575.1+571173.58+5434+2499</f>
        <v>2378982.2200000002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19196585.739999998</v>
      </c>
    </row>
    <row r="19" spans="1:16" x14ac:dyDescent="0.25">
      <c r="A19" s="5" t="s">
        <v>9</v>
      </c>
      <c r="B19" s="24">
        <v>215000</v>
      </c>
      <c r="C19" s="24">
        <v>215000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1500</v>
      </c>
      <c r="J19" s="24">
        <v>0</v>
      </c>
      <c r="K19" s="24">
        <v>16940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18440</v>
      </c>
    </row>
    <row r="20" spans="1:16" x14ac:dyDescent="0.25">
      <c r="A20" s="5" t="s">
        <v>10</v>
      </c>
      <c r="B20" s="24">
        <v>3700000</v>
      </c>
      <c r="C20" s="24">
        <v>3700000</v>
      </c>
      <c r="D20" s="24">
        <v>0</v>
      </c>
      <c r="E20" s="24">
        <v>119000</v>
      </c>
      <c r="F20" s="24">
        <v>85400</v>
      </c>
      <c r="G20" s="24">
        <v>167517.5</v>
      </c>
      <c r="H20" s="24">
        <v>76450</v>
      </c>
      <c r="I20" s="24">
        <v>93880</v>
      </c>
      <c r="J20" s="24">
        <v>341767.5</v>
      </c>
      <c r="K20" s="24">
        <v>172490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1056505</v>
      </c>
    </row>
    <row r="21" spans="1:16" x14ac:dyDescent="0.25">
      <c r="A21" s="5" t="s">
        <v>11</v>
      </c>
      <c r="B21" s="24">
        <v>1720000</v>
      </c>
      <c r="C21" s="24">
        <v>900000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139000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139000</v>
      </c>
    </row>
    <row r="22" spans="1:16" x14ac:dyDescent="0.25">
      <c r="A22" s="5" t="s">
        <v>12</v>
      </c>
      <c r="B22" s="24">
        <v>23404000</v>
      </c>
      <c r="C22" s="24">
        <v>22956225</v>
      </c>
      <c r="D22" s="24">
        <v>0</v>
      </c>
      <c r="E22" s="24">
        <v>84488</v>
      </c>
      <c r="F22" s="24">
        <v>355001.48</v>
      </c>
      <c r="G22" s="24">
        <v>147139.93</v>
      </c>
      <c r="H22" s="24">
        <f>81184+141787.8</f>
        <v>222971.8</v>
      </c>
      <c r="I22" s="24">
        <f>6849049.33+81184</f>
        <v>6930233.3300000001</v>
      </c>
      <c r="J22" s="24">
        <f>1462191.62+81184</f>
        <v>1543375.62</v>
      </c>
      <c r="K22" s="24">
        <f>2419302.18+81184+214435.65</f>
        <v>2714921.83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11998131.99</v>
      </c>
    </row>
    <row r="23" spans="1:16" x14ac:dyDescent="0.25">
      <c r="A23" s="5" t="s">
        <v>13</v>
      </c>
      <c r="B23" s="24">
        <v>14670500</v>
      </c>
      <c r="C23" s="24">
        <v>14270500</v>
      </c>
      <c r="D23" s="24">
        <v>1194917.68</v>
      </c>
      <c r="E23" s="24">
        <v>880511.45</v>
      </c>
      <c r="F23" s="24">
        <v>1565479</v>
      </c>
      <c r="G23" s="24">
        <f>326888.77+1198709.99</f>
        <v>1525598.76</v>
      </c>
      <c r="H23" s="24">
        <f>293205.46+1363636.29</f>
        <v>1656841.75</v>
      </c>
      <c r="I23" s="24">
        <v>1464175.53</v>
      </c>
      <c r="J23" s="24">
        <v>850726.87</v>
      </c>
      <c r="K23" s="24">
        <v>1175041.5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10313292.539999999</v>
      </c>
    </row>
    <row r="24" spans="1:16" ht="30" x14ac:dyDescent="0.25">
      <c r="A24" s="29" t="s">
        <v>14</v>
      </c>
      <c r="B24" s="24">
        <v>2820000</v>
      </c>
      <c r="C24" s="24">
        <v>4950000</v>
      </c>
      <c r="D24" s="24">
        <v>42244</v>
      </c>
      <c r="E24" s="24">
        <v>86199</v>
      </c>
      <c r="F24" s="24">
        <v>449532.8</v>
      </c>
      <c r="G24" s="24">
        <v>566400</v>
      </c>
      <c r="H24" s="24">
        <v>7620.8</v>
      </c>
      <c r="I24" s="24">
        <v>0</v>
      </c>
      <c r="J24" s="24">
        <v>149989.79999999999</v>
      </c>
      <c r="K24" s="24">
        <f>30000+96800</f>
        <v>126800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1428786.4000000001</v>
      </c>
    </row>
    <row r="25" spans="1:16" x14ac:dyDescent="0.25">
      <c r="A25" s="5" t="s">
        <v>15</v>
      </c>
      <c r="B25" s="24">
        <v>1635000</v>
      </c>
      <c r="C25" s="24">
        <v>2550393</v>
      </c>
      <c r="D25" s="24">
        <v>0</v>
      </c>
      <c r="E25" s="24">
        <f>5100.05+33000+19116</f>
        <v>57216.05</v>
      </c>
      <c r="F25" s="24">
        <v>17700.009999999998</v>
      </c>
      <c r="G25" s="24">
        <f>525+9300.09+16500+23895+4599.42</f>
        <v>54819.509999999995</v>
      </c>
      <c r="H25" s="24">
        <f>160000+19116</f>
        <v>179116</v>
      </c>
      <c r="I25" s="24">
        <v>73000</v>
      </c>
      <c r="J25" s="24">
        <f>7425+165200+262699.14+19116</f>
        <v>454440.14</v>
      </c>
      <c r="K25" s="24">
        <f>50464+9558</f>
        <v>60022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896313.71</v>
      </c>
    </row>
    <row r="26" spans="1:16" x14ac:dyDescent="0.25">
      <c r="A26" s="5" t="s">
        <v>16</v>
      </c>
      <c r="B26" s="24">
        <v>3280000</v>
      </c>
      <c r="C26" s="24">
        <v>3473200</v>
      </c>
      <c r="D26" s="24">
        <v>77949.679999999993</v>
      </c>
      <c r="E26" s="24">
        <v>207283.01</v>
      </c>
      <c r="F26" s="24">
        <v>119443.64</v>
      </c>
      <c r="G26" s="24">
        <v>321004.38</v>
      </c>
      <c r="H26" s="24">
        <v>320354.53999999998</v>
      </c>
      <c r="I26" s="24">
        <f>93102+122363.92</f>
        <v>215465.91999999998</v>
      </c>
      <c r="J26" s="24">
        <v>319876.21999999997</v>
      </c>
      <c r="K26" s="24">
        <v>247209.39</v>
      </c>
      <c r="L26" s="24">
        <v>0</v>
      </c>
      <c r="M26" s="24">
        <v>0</v>
      </c>
      <c r="N26" s="24">
        <v>0</v>
      </c>
      <c r="O26" s="24">
        <v>0</v>
      </c>
      <c r="P26" s="24">
        <f t="shared" si="1"/>
        <v>1828586.7799999998</v>
      </c>
    </row>
    <row r="27" spans="1:16" x14ac:dyDescent="0.25">
      <c r="A27" s="3" t="s">
        <v>17</v>
      </c>
      <c r="B27" s="25">
        <f>B28+B29+B30+B31+B32+B33+B34+B36</f>
        <v>14150689</v>
      </c>
      <c r="C27" s="25">
        <f>C28+C29+C30+C31+C32+C33+C34+C36</f>
        <v>14846989</v>
      </c>
      <c r="D27" s="25">
        <f t="shared" ref="D27:P27" si="4">D28+D29+D30+D31+D32+D33+D34+D36</f>
        <v>725140</v>
      </c>
      <c r="E27" s="25">
        <f t="shared" si="4"/>
        <v>735220</v>
      </c>
      <c r="F27" s="25">
        <f t="shared" si="4"/>
        <v>1203322.1499999999</v>
      </c>
      <c r="G27" s="25">
        <f t="shared" si="4"/>
        <v>559729.84000000008</v>
      </c>
      <c r="H27" s="25">
        <f t="shared" si="4"/>
        <v>959125.32999999984</v>
      </c>
      <c r="I27" s="25">
        <f t="shared" si="4"/>
        <v>1660734.6199999999</v>
      </c>
      <c r="J27" s="25">
        <f t="shared" si="4"/>
        <v>820380.08000000007</v>
      </c>
      <c r="K27" s="25">
        <f t="shared" si="4"/>
        <v>1108833.02</v>
      </c>
      <c r="L27" s="25">
        <f t="shared" si="4"/>
        <v>0</v>
      </c>
      <c r="M27" s="25">
        <f t="shared" si="4"/>
        <v>0</v>
      </c>
      <c r="N27" s="25">
        <f t="shared" si="4"/>
        <v>0</v>
      </c>
      <c r="O27" s="25">
        <f t="shared" si="4"/>
        <v>0</v>
      </c>
      <c r="P27" s="25">
        <f t="shared" si="4"/>
        <v>7772485.0399999991</v>
      </c>
    </row>
    <row r="28" spans="1:16" x14ac:dyDescent="0.25">
      <c r="A28" s="29" t="s">
        <v>18</v>
      </c>
      <c r="B28" s="24">
        <v>665000</v>
      </c>
      <c r="C28" s="24">
        <v>658630.53</v>
      </c>
      <c r="D28" s="24">
        <v>2640</v>
      </c>
      <c r="E28" s="24">
        <v>12720</v>
      </c>
      <c r="F28" s="24">
        <v>31770.05</v>
      </c>
      <c r="G28" s="24">
        <v>20384.5</v>
      </c>
      <c r="H28" s="24">
        <v>18369.990000000002</v>
      </c>
      <c r="I28" s="24">
        <v>193898.2</v>
      </c>
      <c r="J28" s="24">
        <v>4740</v>
      </c>
      <c r="K28" s="24">
        <v>28880</v>
      </c>
      <c r="L28" s="24">
        <v>0</v>
      </c>
      <c r="M28" s="24">
        <v>0</v>
      </c>
      <c r="N28" s="24">
        <v>0</v>
      </c>
      <c r="O28" s="24">
        <v>0</v>
      </c>
      <c r="P28" s="24">
        <f t="shared" ref="P28:P35" si="5">SUM(D28:O28)</f>
        <v>313402.74</v>
      </c>
    </row>
    <row r="29" spans="1:16" x14ac:dyDescent="0.25">
      <c r="A29" s="29" t="s">
        <v>19</v>
      </c>
      <c r="B29" s="24">
        <v>125000</v>
      </c>
      <c r="C29" s="24">
        <v>263300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112930.58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112930.58</v>
      </c>
    </row>
    <row r="30" spans="1:16" x14ac:dyDescent="0.25">
      <c r="A30" s="29" t="s">
        <v>20</v>
      </c>
      <c r="B30" s="24">
        <v>475000</v>
      </c>
      <c r="C30" s="24">
        <v>420200</v>
      </c>
      <c r="D30" s="24">
        <v>0</v>
      </c>
      <c r="E30" s="24">
        <v>0</v>
      </c>
      <c r="F30" s="24">
        <v>31246.400000000001</v>
      </c>
      <c r="G30" s="24">
        <v>0</v>
      </c>
      <c r="H30" s="24">
        <v>19352</v>
      </c>
      <c r="I30" s="24">
        <v>52038</v>
      </c>
      <c r="J30" s="24">
        <v>11475</v>
      </c>
      <c r="K30" s="24">
        <v>3100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5"/>
        <v>117211.4</v>
      </c>
    </row>
    <row r="31" spans="1:16" x14ac:dyDescent="0.25">
      <c r="A31" s="29" t="s">
        <v>21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0</v>
      </c>
    </row>
    <row r="32" spans="1:16" x14ac:dyDescent="0.25">
      <c r="A32" s="29" t="s">
        <v>22</v>
      </c>
      <c r="B32" s="24">
        <v>300000</v>
      </c>
      <c r="C32" s="24">
        <v>278869.46999999997</v>
      </c>
      <c r="D32" s="24">
        <v>0</v>
      </c>
      <c r="E32" s="24">
        <v>0</v>
      </c>
      <c r="F32" s="24">
        <v>0</v>
      </c>
      <c r="G32" s="24">
        <v>0</v>
      </c>
      <c r="H32" s="24">
        <v>7168.5</v>
      </c>
      <c r="I32" s="24">
        <v>140618.23999999999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147786.74</v>
      </c>
    </row>
    <row r="33" spans="1:16" ht="30" x14ac:dyDescent="0.25">
      <c r="A33" s="29" t="s">
        <v>23</v>
      </c>
      <c r="B33" s="24">
        <v>305002</v>
      </c>
      <c r="C33" s="24">
        <v>363002</v>
      </c>
      <c r="D33" s="24">
        <v>0</v>
      </c>
      <c r="E33" s="24">
        <v>0</v>
      </c>
      <c r="F33" s="24">
        <v>3223.43</v>
      </c>
      <c r="G33" s="24">
        <v>324.97000000000003</v>
      </c>
      <c r="H33" s="24">
        <f>1761.47+2643.82</f>
        <v>4405.29</v>
      </c>
      <c r="I33" s="24">
        <f>2884.75+6200.05+217.5+2000.95</f>
        <v>11303.25</v>
      </c>
      <c r="J33" s="24">
        <v>111650</v>
      </c>
      <c r="K33" s="24">
        <f>672.6+1919.86+1444.32</f>
        <v>4036.7799999999997</v>
      </c>
      <c r="L33" s="24">
        <v>0</v>
      </c>
      <c r="M33" s="24">
        <v>0</v>
      </c>
      <c r="N33" s="24">
        <v>0</v>
      </c>
      <c r="O33" s="24">
        <v>0</v>
      </c>
      <c r="P33" s="24">
        <f t="shared" si="5"/>
        <v>134943.72</v>
      </c>
    </row>
    <row r="34" spans="1:16" ht="30" x14ac:dyDescent="0.25">
      <c r="A34" s="29" t="s">
        <v>24</v>
      </c>
      <c r="B34" s="24">
        <v>11100000</v>
      </c>
      <c r="C34" s="24">
        <v>11326000</v>
      </c>
      <c r="D34" s="24">
        <v>722500</v>
      </c>
      <c r="E34" s="24">
        <v>722500</v>
      </c>
      <c r="F34" s="24">
        <v>1015500</v>
      </c>
      <c r="G34" s="24">
        <v>516862.32</v>
      </c>
      <c r="H34" s="24">
        <f>505000+50548.6+115907.57+2468.44</f>
        <v>673924.60999999987</v>
      </c>
      <c r="I34" s="24">
        <f>789500+99999.22+10431.2+99550.11+16494.71</f>
        <v>1015975.2399999999</v>
      </c>
      <c r="J34" s="24">
        <v>512000</v>
      </c>
      <c r="K34" s="24">
        <f>900000+6773.2+6742.52</f>
        <v>913515.72</v>
      </c>
      <c r="L34" s="24">
        <v>0</v>
      </c>
      <c r="M34" s="24">
        <v>0</v>
      </c>
      <c r="N34" s="24">
        <v>0</v>
      </c>
      <c r="O34" s="24">
        <v>0</v>
      </c>
      <c r="P34" s="24">
        <f t="shared" si="5"/>
        <v>6092777.8899999997</v>
      </c>
    </row>
    <row r="35" spans="1:16" ht="30" x14ac:dyDescent="0.25">
      <c r="A35" s="29" t="s">
        <v>25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5"/>
        <v>0</v>
      </c>
    </row>
    <row r="36" spans="1:16" x14ac:dyDescent="0.25">
      <c r="A36" s="5" t="s">
        <v>26</v>
      </c>
      <c r="B36" s="24">
        <v>1180687</v>
      </c>
      <c r="C36" s="24">
        <v>1536987</v>
      </c>
      <c r="D36" s="24">
        <v>0</v>
      </c>
      <c r="E36" s="24">
        <v>0</v>
      </c>
      <c r="F36" s="24">
        <v>121582.27</v>
      </c>
      <c r="G36" s="24">
        <f>11876.94+6062.46+4218.65</f>
        <v>22158.050000000003</v>
      </c>
      <c r="H36" s="24">
        <f>47039.23+90737.28+26000.24+58481.84+12398.5+1247.85</f>
        <v>235904.94</v>
      </c>
      <c r="I36" s="24">
        <f>45492.66+2891.61+74365.37+30343.62+16150.06+1400.9+76257.47</f>
        <v>246901.69</v>
      </c>
      <c r="J36" s="24">
        <f>58498.5+9086</f>
        <v>67584.5</v>
      </c>
      <c r="K36" s="24">
        <f>30472.91+32621.03+34696.72+60833.58+676.28</f>
        <v>159300.51999999999</v>
      </c>
      <c r="L36" s="24">
        <v>0</v>
      </c>
      <c r="M36" s="24">
        <v>0</v>
      </c>
      <c r="N36" s="24">
        <v>0</v>
      </c>
      <c r="O36" s="24">
        <v>0</v>
      </c>
      <c r="P36" s="24">
        <f>SUM(D36:O36)</f>
        <v>853431.97</v>
      </c>
    </row>
    <row r="37" spans="1:16" x14ac:dyDescent="0.25">
      <c r="A37" s="3" t="s">
        <v>27</v>
      </c>
      <c r="B37" s="25">
        <f>B38</f>
        <v>50000</v>
      </c>
      <c r="C37" s="25">
        <f>C38</f>
        <v>50000</v>
      </c>
      <c r="D37" s="25">
        <f t="shared" ref="D37:P37" si="6">D38</f>
        <v>0</v>
      </c>
      <c r="E37" s="25">
        <f t="shared" si="6"/>
        <v>0</v>
      </c>
      <c r="F37" s="25">
        <f t="shared" si="6"/>
        <v>24000</v>
      </c>
      <c r="G37" s="25">
        <f t="shared" si="6"/>
        <v>0</v>
      </c>
      <c r="H37" s="25">
        <f t="shared" si="6"/>
        <v>0</v>
      </c>
      <c r="I37" s="25">
        <f t="shared" si="6"/>
        <v>0</v>
      </c>
      <c r="J37" s="25">
        <f t="shared" si="6"/>
        <v>0</v>
      </c>
      <c r="K37" s="25">
        <f t="shared" si="6"/>
        <v>0</v>
      </c>
      <c r="L37" s="25">
        <f t="shared" si="6"/>
        <v>0</v>
      </c>
      <c r="M37" s="25">
        <f t="shared" si="6"/>
        <v>0</v>
      </c>
      <c r="N37" s="25">
        <f t="shared" si="6"/>
        <v>0</v>
      </c>
      <c r="O37" s="25">
        <f t="shared" si="6"/>
        <v>0</v>
      </c>
      <c r="P37" s="25">
        <f t="shared" si="6"/>
        <v>24000</v>
      </c>
    </row>
    <row r="38" spans="1:16" x14ac:dyDescent="0.25">
      <c r="A38" s="29" t="s">
        <v>28</v>
      </c>
      <c r="B38" s="24">
        <v>50000</v>
      </c>
      <c r="C38" s="24">
        <v>50000</v>
      </c>
      <c r="D38" s="24">
        <v>0</v>
      </c>
      <c r="E38" s="24">
        <v>0</v>
      </c>
      <c r="F38" s="24">
        <v>24000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f>SUM(D38:O38)</f>
        <v>24000</v>
      </c>
    </row>
    <row r="39" spans="1:16" ht="30" x14ac:dyDescent="0.25">
      <c r="A39" s="29" t="s">
        <v>29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30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29" t="s">
        <v>33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29" t="s">
        <v>34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ht="30" x14ac:dyDescent="0.25">
      <c r="A45" s="29" t="s">
        <v>35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3" t="s">
        <v>36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9" t="s">
        <v>37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38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39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40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29" t="s">
        <v>41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ht="30" x14ac:dyDescent="0.25">
      <c r="A52" s="29" t="s">
        <v>42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3" t="s">
        <v>43</v>
      </c>
      <c r="B53" s="25">
        <f>B54+B57+B58</f>
        <v>1000000</v>
      </c>
      <c r="C53" s="25">
        <f>C54+C57+C58+C55+C61</f>
        <v>1347500</v>
      </c>
      <c r="D53" s="25">
        <f>D54+D57+D58</f>
        <v>0</v>
      </c>
      <c r="E53" s="25">
        <f>E54+E57+E58</f>
        <v>0</v>
      </c>
      <c r="F53" s="25">
        <f>F54+F57+F58+F61</f>
        <v>842496.34</v>
      </c>
      <c r="G53" s="25">
        <f>G54+G57+G58</f>
        <v>0</v>
      </c>
      <c r="H53" s="25">
        <f>H55+H54</f>
        <v>24721</v>
      </c>
      <c r="I53" s="25">
        <f t="shared" ref="I53:M53" si="7">I54+I57+I58</f>
        <v>78242.290000000008</v>
      </c>
      <c r="J53" s="25">
        <f t="shared" si="7"/>
        <v>0</v>
      </c>
      <c r="K53" s="25">
        <f t="shared" si="7"/>
        <v>118631.54</v>
      </c>
      <c r="L53" s="25">
        <f>L54+L57+L58+L55</f>
        <v>0</v>
      </c>
      <c r="M53" s="25">
        <f t="shared" si="7"/>
        <v>0</v>
      </c>
      <c r="N53" s="25">
        <f>N54+N57+N58+N55+N61</f>
        <v>0</v>
      </c>
      <c r="O53" s="25">
        <f>O54+O57+O58+O55</f>
        <v>0</v>
      </c>
      <c r="P53" s="25">
        <f>SUM(D53:O53)</f>
        <v>1064091.17</v>
      </c>
    </row>
    <row r="54" spans="1:16" x14ac:dyDescent="0.25">
      <c r="A54" s="29" t="s">
        <v>44</v>
      </c>
      <c r="B54" s="24">
        <v>650000</v>
      </c>
      <c r="C54" s="24">
        <v>1260000</v>
      </c>
      <c r="D54" s="24">
        <v>0</v>
      </c>
      <c r="E54" s="24">
        <v>0</v>
      </c>
      <c r="F54" s="24">
        <v>802496.34</v>
      </c>
      <c r="G54" s="24">
        <v>0</v>
      </c>
      <c r="H54" s="24">
        <v>24721</v>
      </c>
      <c r="I54" s="24">
        <v>76934.3</v>
      </c>
      <c r="J54" s="24">
        <v>0</v>
      </c>
      <c r="K54" s="24">
        <v>103291.54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1007443.18</v>
      </c>
    </row>
    <row r="55" spans="1:16" ht="30" x14ac:dyDescent="0.25">
      <c r="A55" s="29" t="s">
        <v>45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>SUM(D55:O55)</f>
        <v>0</v>
      </c>
    </row>
    <row r="56" spans="1:16" ht="30" x14ac:dyDescent="0.25">
      <c r="A56" s="29" t="s">
        <v>46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ref="P56:P58" si="8">SUM(D56:O56)</f>
        <v>0</v>
      </c>
    </row>
    <row r="57" spans="1:16" ht="30" x14ac:dyDescent="0.25">
      <c r="A57" s="29" t="s">
        <v>47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si="8"/>
        <v>0</v>
      </c>
    </row>
    <row r="58" spans="1:16" x14ac:dyDescent="0.25">
      <c r="A58" s="29" t="s">
        <v>48</v>
      </c>
      <c r="B58" s="24">
        <v>350000</v>
      </c>
      <c r="C58" s="24">
        <v>47500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1307.99</v>
      </c>
      <c r="J58" s="24">
        <v>0</v>
      </c>
      <c r="K58" s="24">
        <v>15340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8"/>
        <v>16647.990000000002</v>
      </c>
    </row>
    <row r="59" spans="1:16" x14ac:dyDescent="0.25">
      <c r="A59" s="29" t="s">
        <v>49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29" t="s">
        <v>50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29" t="s">
        <v>51</v>
      </c>
      <c r="B61" s="24">
        <v>0</v>
      </c>
      <c r="C61" s="24">
        <v>40000</v>
      </c>
      <c r="D61" s="24">
        <v>0</v>
      </c>
      <c r="E61" s="24">
        <v>0</v>
      </c>
      <c r="F61" s="24">
        <v>40000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f>SUM(D61:O61)</f>
        <v>40000</v>
      </c>
    </row>
    <row r="62" spans="1:16" ht="30" x14ac:dyDescent="0.25">
      <c r="A62" s="29" t="s">
        <v>52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3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29" t="s">
        <v>54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29" t="s">
        <v>55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29" t="s">
        <v>56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29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ht="30" x14ac:dyDescent="0.25">
      <c r="A68" s="39" t="s">
        <v>58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5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ht="30" x14ac:dyDescent="0.25">
      <c r="A70" s="29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3" t="s">
        <v>61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5">
      <c r="A72" s="29" t="s">
        <v>62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29" t="s">
        <v>63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ht="30" x14ac:dyDescent="0.25">
      <c r="A74" s="29" t="s">
        <v>64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1" t="s">
        <v>67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25">
      <c r="A76" s="3" t="s">
        <v>68</v>
      </c>
      <c r="B76" s="25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25">
      <c r="A77" s="29" t="s">
        <v>69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29" t="s">
        <v>70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3" t="s">
        <v>71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5" t="s">
        <v>72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5" t="s">
        <v>73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3" t="s">
        <v>74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1:16" x14ac:dyDescent="0.25">
      <c r="A83" s="5" t="s">
        <v>75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</row>
    <row r="84" spans="1:16" ht="20.25" customHeight="1" x14ac:dyDescent="0.25">
      <c r="A84" s="9" t="s">
        <v>65</v>
      </c>
      <c r="B84" s="28">
        <f>B53+B37+B27+B17+B11</f>
        <v>311699277</v>
      </c>
      <c r="C84" s="28">
        <f>C53+C37+C27+C17+C11</f>
        <v>314313895</v>
      </c>
      <c r="D84" s="28">
        <f t="shared" ref="D84:P84" si="9">D53+D37+D27+D17+D11</f>
        <v>19181413.640000001</v>
      </c>
      <c r="E84" s="28">
        <f t="shared" si="9"/>
        <v>19650295.649999999</v>
      </c>
      <c r="F84" s="28">
        <f t="shared" si="9"/>
        <v>23135808.469999999</v>
      </c>
      <c r="G84" s="28">
        <f t="shared" si="9"/>
        <v>32521576.899999999</v>
      </c>
      <c r="H84" s="28">
        <f t="shared" si="9"/>
        <v>19743243.73</v>
      </c>
      <c r="I84" s="28">
        <f t="shared" si="9"/>
        <v>27331415.18</v>
      </c>
      <c r="J84" s="28">
        <f t="shared" si="9"/>
        <v>21207148.729999997</v>
      </c>
      <c r="K84" s="28">
        <f t="shared" si="9"/>
        <v>22865481.84</v>
      </c>
      <c r="L84" s="28">
        <f t="shared" si="9"/>
        <v>0</v>
      </c>
      <c r="M84" s="28">
        <f t="shared" si="9"/>
        <v>0</v>
      </c>
      <c r="N84" s="28">
        <f t="shared" si="9"/>
        <v>0</v>
      </c>
      <c r="O84" s="28">
        <f t="shared" si="9"/>
        <v>0</v>
      </c>
      <c r="P84" s="28">
        <f t="shared" si="9"/>
        <v>185636384.13999999</v>
      </c>
    </row>
    <row r="85" spans="1:16" ht="36" customHeight="1" x14ac:dyDescent="0.25"/>
    <row r="86" spans="1:16" ht="18.75" x14ac:dyDescent="0.3">
      <c r="A86" s="31"/>
      <c r="B86" s="31" t="s">
        <v>101</v>
      </c>
      <c r="C86" s="30"/>
      <c r="D86" s="30"/>
      <c r="E86" s="30"/>
      <c r="F86" s="31" t="s">
        <v>102</v>
      </c>
      <c r="H86" s="32"/>
      <c r="J86" s="33"/>
      <c r="K86" s="30"/>
    </row>
    <row r="87" spans="1:16" ht="33" customHeight="1" x14ac:dyDescent="0.3">
      <c r="A87" s="34"/>
      <c r="B87" s="34" t="s">
        <v>103</v>
      </c>
      <c r="C87" s="32"/>
      <c r="D87" s="30"/>
      <c r="E87" s="30"/>
      <c r="F87" s="34" t="s">
        <v>103</v>
      </c>
      <c r="H87" s="34"/>
      <c r="I87" s="30"/>
      <c r="J87" s="30"/>
      <c r="K87" s="30"/>
    </row>
    <row r="88" spans="1:16" ht="18.75" x14ac:dyDescent="0.3">
      <c r="A88" s="32"/>
      <c r="B88" s="32" t="s">
        <v>104</v>
      </c>
      <c r="C88" s="32"/>
      <c r="D88" s="30"/>
      <c r="E88" s="30"/>
      <c r="F88" s="32" t="s">
        <v>105</v>
      </c>
      <c r="G88" s="48" t="s">
        <v>107</v>
      </c>
      <c r="H88" s="48"/>
      <c r="I88" s="48"/>
      <c r="J88" s="48"/>
      <c r="K88" s="30"/>
    </row>
    <row r="89" spans="1:16" ht="18.75" x14ac:dyDescent="0.3">
      <c r="A89" s="31"/>
      <c r="B89" s="31" t="s">
        <v>106</v>
      </c>
      <c r="C89" s="31"/>
      <c r="D89" s="30"/>
      <c r="E89" s="30"/>
      <c r="F89" s="31" t="s">
        <v>108</v>
      </c>
      <c r="H89" s="31"/>
      <c r="I89" s="30"/>
      <c r="J89" s="30"/>
      <c r="K89" s="30"/>
    </row>
    <row r="90" spans="1:16" ht="18.75" x14ac:dyDescent="0.3">
      <c r="D90" s="30"/>
      <c r="E90" s="30"/>
      <c r="F90" s="30"/>
      <c r="H90" s="30"/>
      <c r="I90" s="30"/>
      <c r="J90" s="30"/>
      <c r="K90" s="30"/>
    </row>
    <row r="91" spans="1:16" ht="18.75" x14ac:dyDescent="0.25">
      <c r="B91" s="32"/>
    </row>
  </sheetData>
  <mergeCells count="10">
    <mergeCell ref="G88:J88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11811023622047245" right="0.11811023622047245" top="0.39370078740157483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65" zoomScaleNormal="100" workbookViewId="0">
      <selection activeCell="I83" sqref="I83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7" t="s">
        <v>111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21" customHeight="1" x14ac:dyDescent="0.25">
      <c r="A3" s="54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5.75" x14ac:dyDescent="0.25">
      <c r="A4" s="46">
        <v>2025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14487741.35</v>
      </c>
      <c r="I10" s="25">
        <f>I11+I12+I15</f>
        <v>14606610.34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129900165.76999998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12323850.119999999</v>
      </c>
      <c r="I11" s="24">
        <v>12426664.609999999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112655393.03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333500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2620000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1830391.23</v>
      </c>
      <c r="I15" s="24">
        <v>1846445.73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14624772.74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10958809.609999999</v>
      </c>
      <c r="H16" s="25">
        <f t="shared" si="1"/>
        <v>5899027.2999999989</v>
      </c>
      <c r="I16" s="25">
        <f t="shared" si="1"/>
        <v>7031406.9400000004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46875642.159999996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2238851.15</v>
      </c>
      <c r="I17" s="24">
        <v>2378982.2200000002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19196585.739999998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16940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18440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341767.5</v>
      </c>
      <c r="I19" s="24">
        <v>172490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1056505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139000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139000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1543375.62</v>
      </c>
      <c r="I21" s="24">
        <v>2714921.83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11998131.99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850726.87</v>
      </c>
      <c r="I22" s="24">
        <v>1175041.5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10313292.539999999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149989.79999999999</v>
      </c>
      <c r="I23" s="24">
        <v>126800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1428786.4000000001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73000</v>
      </c>
      <c r="H24" s="24">
        <v>454440.14</v>
      </c>
      <c r="I24" s="24">
        <v>60022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896313.71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215465.92</v>
      </c>
      <c r="H25" s="24">
        <v>319876.21999999997</v>
      </c>
      <c r="I25" s="24">
        <v>247209.39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1828586.7799999998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820380.08000000007</v>
      </c>
      <c r="I26" s="25">
        <f t="shared" si="4"/>
        <v>1108833.02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7772485.0399999991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4740</v>
      </c>
      <c r="I27" s="24">
        <v>28880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313402.74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112930.58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112930.58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11475</v>
      </c>
      <c r="I29" s="24">
        <v>3100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117211.4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147786.74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111650</v>
      </c>
      <c r="I32" s="24">
        <v>4036.78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134943.72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512000</v>
      </c>
      <c r="I33" s="24">
        <v>913515.72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6092777.8899999997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67584.5</v>
      </c>
      <c r="I35" s="24">
        <v>159300.51999999999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853431.97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I53+I57</f>
        <v>118631.54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1064091.17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103291.54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1007443.18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15340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16647.990000000002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27331415.18</v>
      </c>
      <c r="H83" s="26">
        <f>H52+H16+H10+H26</f>
        <v>21207148.729999997</v>
      </c>
      <c r="I83" s="26">
        <f>I52+I26+I16+I10</f>
        <v>22865481.84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185636384.13999999</v>
      </c>
    </row>
    <row r="84" spans="1:14" x14ac:dyDescent="0.25">
      <c r="A84" s="38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2025-09-02T15:57:13Z</cp:lastPrinted>
  <dcterms:created xsi:type="dcterms:W3CDTF">2021-07-29T18:58:50Z</dcterms:created>
  <dcterms:modified xsi:type="dcterms:W3CDTF">2025-09-04T12:22:33Z</dcterms:modified>
</cp:coreProperties>
</file>