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8_{ED7D2931-6E7E-4034-80E6-9B6D6A770D2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'!$1:$8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5" i="2" l="1"/>
  <c r="K35" i="2"/>
  <c r="K24" i="2"/>
  <c r="K21" i="2"/>
  <c r="K17" i="2"/>
  <c r="K15" i="2"/>
  <c r="J35" i="2"/>
  <c r="J33" i="2"/>
  <c r="J32" i="2"/>
  <c r="J21" i="2"/>
  <c r="J17" i="2"/>
  <c r="J11" i="2"/>
  <c r="J15" i="2"/>
  <c r="I35" i="2" l="1"/>
  <c r="I33" i="2"/>
  <c r="I32" i="2"/>
  <c r="I21" i="2"/>
  <c r="I24" i="2"/>
  <c r="I22" i="2"/>
  <c r="I17" i="2"/>
  <c r="I11" i="2"/>
  <c r="I15" i="2"/>
  <c r="E16" i="3"/>
  <c r="E21" i="3"/>
  <c r="I16" i="2" l="1"/>
  <c r="H35" i="2"/>
  <c r="H24" i="2"/>
  <c r="H22" i="2"/>
  <c r="H17" i="2"/>
  <c r="H15" i="2"/>
  <c r="Q60" i="2" l="1"/>
  <c r="G52" i="2"/>
  <c r="D52" i="3"/>
  <c r="D83" i="3" s="1"/>
  <c r="D24" i="3"/>
  <c r="E52" i="3"/>
  <c r="D26" i="3"/>
  <c r="C26" i="3"/>
  <c r="D35" i="3"/>
  <c r="D33" i="3"/>
  <c r="D32" i="3"/>
  <c r="D23" i="3"/>
  <c r="D21" i="3"/>
  <c r="D17" i="3"/>
  <c r="D15" i="3"/>
  <c r="D11" i="3"/>
  <c r="F24" i="2"/>
  <c r="F17" i="2" l="1"/>
  <c r="F15" i="2"/>
  <c r="F11" i="2"/>
  <c r="E17" i="2"/>
  <c r="E11" i="2"/>
  <c r="E15" i="2"/>
  <c r="E54" i="1"/>
  <c r="L16" i="3" l="1"/>
  <c r="L52" i="3"/>
  <c r="N55" i="3"/>
  <c r="N61" i="3"/>
  <c r="N60" i="3"/>
  <c r="N59" i="3"/>
  <c r="N58" i="3"/>
  <c r="O52" i="2"/>
  <c r="O16" i="2"/>
  <c r="J52" i="3"/>
  <c r="J26" i="3"/>
  <c r="J16" i="3"/>
  <c r="M52" i="2"/>
  <c r="M16" i="2"/>
  <c r="D52" i="2"/>
  <c r="G16" i="3"/>
  <c r="G52" i="3"/>
  <c r="J16" i="2"/>
  <c r="G26" i="3" l="1"/>
  <c r="F26" i="3"/>
  <c r="F52" i="3"/>
  <c r="F16" i="3"/>
  <c r="I52" i="2"/>
  <c r="Q37" i="2"/>
  <c r="E26" i="3"/>
  <c r="H16" i="2" l="1"/>
  <c r="F16" i="2"/>
  <c r="E18" i="1" l="1"/>
  <c r="G16" i="2"/>
  <c r="N37" i="3" l="1"/>
  <c r="D16" i="3"/>
  <c r="B16" i="3" l="1"/>
  <c r="C10" i="2"/>
  <c r="E16" i="2"/>
  <c r="C16" i="3"/>
  <c r="D28" i="1"/>
  <c r="D12" i="1"/>
  <c r="M16" i="3"/>
  <c r="M26" i="3"/>
  <c r="M52" i="3"/>
  <c r="P16" i="2"/>
  <c r="K26" i="3"/>
  <c r="Q34" i="2"/>
  <c r="Q57" i="2"/>
  <c r="Q56" i="2"/>
  <c r="Q55" i="2"/>
  <c r="H16" i="3" l="1"/>
  <c r="H52" i="3"/>
  <c r="H26" i="3"/>
  <c r="K16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K52" i="3"/>
  <c r="C52" i="3"/>
  <c r="B52" i="3"/>
  <c r="B26" i="3"/>
  <c r="C16" i="2"/>
  <c r="D18" i="1" l="1"/>
  <c r="M10" i="3"/>
  <c r="P52" i="2"/>
  <c r="D36" i="2"/>
  <c r="D16" i="2"/>
  <c r="N54" i="3"/>
  <c r="L26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I52" i="3"/>
  <c r="N53" i="3"/>
  <c r="N25" i="3"/>
  <c r="K16" i="3"/>
  <c r="N24" i="3"/>
  <c r="N23" i="3"/>
  <c r="N22" i="3"/>
  <c r="N21" i="3"/>
  <c r="N20" i="3"/>
  <c r="N19" i="3"/>
  <c r="N18" i="3"/>
  <c r="N17" i="3"/>
  <c r="J10" i="3"/>
  <c r="J83" i="3" s="1"/>
  <c r="H10" i="3"/>
  <c r="H83" i="3" s="1"/>
  <c r="G10" i="3"/>
  <c r="G83" i="3" s="1"/>
  <c r="F10" i="3"/>
  <c r="F83" i="3" s="1"/>
  <c r="E10" i="3"/>
  <c r="D10" i="3"/>
  <c r="C10" i="3"/>
  <c r="B10" i="3"/>
  <c r="N11" i="3"/>
  <c r="Q54" i="2"/>
  <c r="Q53" i="2"/>
  <c r="N52" i="2"/>
  <c r="L52" i="2"/>
  <c r="K52" i="2"/>
  <c r="J52" i="2"/>
  <c r="Q29" i="2"/>
  <c r="Q35" i="2"/>
  <c r="Q33" i="2"/>
  <c r="Q32" i="2"/>
  <c r="Q31" i="2"/>
  <c r="Q30" i="2"/>
  <c r="Q28" i="2"/>
  <c r="Q27" i="2"/>
  <c r="Q25" i="2"/>
  <c r="Q23" i="2"/>
  <c r="Q20" i="2"/>
  <c r="Q19" i="2"/>
  <c r="Q18" i="2"/>
  <c r="L16" i="2"/>
  <c r="Q24" i="2"/>
  <c r="Q22" i="2"/>
  <c r="Q21" i="2"/>
  <c r="Q17" i="2"/>
  <c r="Q15" i="2"/>
  <c r="Q12" i="2"/>
  <c r="Q11" i="2"/>
  <c r="H52" i="2"/>
  <c r="F52" i="2"/>
  <c r="E52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P26" i="2"/>
  <c r="O26" i="2"/>
  <c r="N26" i="2"/>
  <c r="M26" i="2"/>
  <c r="L26" i="2"/>
  <c r="K26" i="2"/>
  <c r="J26" i="2"/>
  <c r="I26" i="2"/>
  <c r="H26" i="2"/>
  <c r="G26" i="2"/>
  <c r="F26" i="2"/>
  <c r="E26" i="2"/>
  <c r="N16" i="2"/>
  <c r="P10" i="2"/>
  <c r="O10" i="2"/>
  <c r="N10" i="2"/>
  <c r="M10" i="2"/>
  <c r="L10" i="2"/>
  <c r="K10" i="2"/>
  <c r="J10" i="2"/>
  <c r="I10" i="2"/>
  <c r="H10" i="2"/>
  <c r="G10" i="2"/>
  <c r="F10" i="2"/>
  <c r="E10" i="2"/>
  <c r="C52" i="2"/>
  <c r="C36" i="2"/>
  <c r="D26" i="2"/>
  <c r="C26" i="2"/>
  <c r="D10" i="2"/>
  <c r="D83" i="2" l="1"/>
  <c r="Q10" i="2"/>
  <c r="K83" i="3"/>
  <c r="E83" i="3"/>
  <c r="C83" i="3"/>
  <c r="B83" i="3"/>
  <c r="M83" i="3"/>
  <c r="L83" i="3"/>
  <c r="C83" i="2"/>
  <c r="Q52" i="2"/>
  <c r="I83" i="3"/>
  <c r="N26" i="3"/>
  <c r="N10" i="3"/>
  <c r="N16" i="3"/>
  <c r="N52" i="3"/>
  <c r="Q26" i="2"/>
  <c r="G83" i="2"/>
  <c r="H83" i="2"/>
  <c r="Q16" i="2"/>
  <c r="P83" i="2"/>
  <c r="J83" i="2"/>
  <c r="N83" i="2"/>
  <c r="O83" i="2"/>
  <c r="I83" i="2"/>
  <c r="M83" i="2"/>
  <c r="L83" i="2"/>
  <c r="K83" i="2"/>
  <c r="F83" i="2"/>
  <c r="E83" i="2"/>
  <c r="D54" i="1"/>
  <c r="E38" i="1"/>
  <c r="D38" i="1"/>
  <c r="E28" i="1"/>
  <c r="E12" i="1"/>
  <c r="E85" i="1" l="1"/>
  <c r="N83" i="3"/>
  <c r="D85" i="1"/>
  <c r="Q83" i="2"/>
</calcChain>
</file>

<file path=xl/sharedStrings.xml><?xml version="1.0" encoding="utf-8"?>
<sst xmlns="http://schemas.openxmlformats.org/spreadsheetml/2006/main" count="293" uniqueCount="113">
  <si>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</si>
  <si>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</si>
  <si>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</si>
  <si>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</si>
  <si>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</si>
  <si>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</si>
  <si>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</si>
  <si>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</si>
  <si>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</si>
  <si>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</si>
  <si>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</si>
  <si>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</si>
  <si>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</si>
  <si>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</si>
  <si>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</si>
  <si>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</si>
  <si>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</si>
  <si>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</si>
  <si>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</si>
  <si>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</si>
  <si>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</si>
  <si>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</si>
  <si>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</si>
  <si>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</si>
  <si>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</si>
  <si>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</si>
  <si>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</si>
  <si>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</si>
  <si>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</si>
  <si>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</si>
  <si>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</si>
  <si>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</si>
  <si>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</si>
  <si>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</si>
  <si>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</si>
  <si>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</si>
  <si>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</si>
  <si>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</si>
  <si>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</si>
  <si>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</si>
  <si>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</si>
  <si>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</si>
  <si>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</si>
  <si>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</si>
  <si>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</si>
  <si>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</si>
  <si>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</si>
  <si>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</si>
  <si>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</si>
  <si>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</si>
  <si>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</si>
  <si>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</si>
  <si>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</si>
  <si>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</si>
  <si>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</si>
  <si>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</si>
  <si>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</si>
  <si>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</si>
  <si>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</si>
  <si>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</si>
  <si>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</si>
  <si>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</si>
  <si>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</si>
  <si>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</si>
  <si>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</si>
  <si>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</si>
  <si>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</si>
  <si>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</si>
  <si>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</si>
  <si>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</si>
  <si>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</si>
  <si>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</si>
  <si>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</si>
  <si>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</si>
  <si>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</si>
  <si>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</si>
  <si>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</si>
  <si>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</si>
  <si>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</si>
  <si>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</si>
  <si>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</si>
  <si>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</si>
  <si>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</si>
  <si>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</si>
  <si>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</si>
  <si>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</si>
  <si>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</si>
  <si>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</si>
  <si>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</si>
  <si>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</si>
  <si>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</si>
  <si>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</si>
  <si>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</si>
  <si>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</si>
  <si>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</si>
  <si>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</si>
  <si>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</si>
  <si>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</si>
  <si>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</si>
  <si>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</si>
  <si>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</si>
  <si>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</si>
  <si>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</si>
  <si>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</si>
  <si>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</si>
  <si>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</si>
  <si>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</si>
  <si>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>Humberto Méndez</t>
  </si>
  <si>
    <t xml:space="preserve">                                                                                                                      Director  Administrativo y Financiero</t>
  </si>
  <si>
    <t xml:space="preserve">                                                                                                                 Humberto Méndez</t>
  </si>
  <si>
    <t xml:space="preserve">                                                                                                                     Director Administrativo y Financiero </t>
  </si>
  <si>
    <t>GOBIERNO DE LA REPUBLICA DOMINICANA</t>
  </si>
  <si>
    <t>Nota: Reintegros por devolución de subsidio enfermedad común RD$0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</si>
</sst>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1"/>
      <name val="Gotham"/>
    </font>
    <font>
      <sz val="11"/>
      <color theme="0"/>
      <name val="Calibri"/>
      <family val="2"/>
      <scheme val="minor"/>
    </font>
    <font>
      <b/>
      <i/>
      <sz val="11"/>
      <color theme="0"/>
      <name val="Gotham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15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0</xdr:row>
      <xdr:rowOff>152400</xdr:rowOff>
    </xdr:from>
    <xdr:to>
      <xdr:col>16</xdr:col>
      <xdr:colOff>609600</xdr:colOff>
      <xdr:row>5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7583151" y="533400"/>
          <a:ext cx="1724024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14</xdr:col>
      <xdr:colOff>714376</xdr:colOff>
      <xdr:row>0</xdr:row>
      <xdr:rowOff>171450</xdr:rowOff>
    </xdr:from>
    <xdr:to>
      <xdr:col>16</xdr:col>
      <xdr:colOff>573562</xdr:colOff>
      <xdr:row>4</xdr:row>
      <xdr:rowOff>183150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D018C60-409D-4A1F-870D-8A74054A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8876" y="55245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647701</xdr:colOff>
      <xdr:row>0</xdr:row>
      <xdr:rowOff>76200</xdr:rowOff>
    </xdr:from>
    <xdr:to>
      <xdr:col>13</xdr:col>
      <xdr:colOff>335437</xdr:colOff>
      <xdr:row>4</xdr:row>
      <xdr:rowOff>97425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6" y="762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11" workbookViewId="0">
      <selection activeCell="I54" sqref="I54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111</v>
      </c>
      <c r="D3" s="40"/>
      <c r="E3" s="4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0" t="s">
        <v>98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6">
        <v>2025</v>
      </c>
      <c r="D5" s="47"/>
      <c r="E5" s="47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1" t="s">
        <v>76</v>
      </c>
      <c r="D6" s="42"/>
      <c r="E6" s="4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1" t="s">
        <v>77</v>
      </c>
      <c r="D7" s="42"/>
      <c r="E7" s="4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3" t="s">
        <v>66</v>
      </c>
      <c r="D9" s="44" t="s">
        <v>94</v>
      </c>
      <c r="E9" s="44" t="s">
        <v>93</v>
      </c>
      <c r="F9" s="8"/>
    </row>
    <row r="10" spans="2:16" ht="23.25" customHeight="1" x14ac:dyDescent="0.25">
      <c r="C10" s="43"/>
      <c r="D10" s="45"/>
      <c r="E10" s="45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217601998</v>
      </c>
      <c r="E12" s="4">
        <f>E13+E14+E17</f>
        <v>217601998</v>
      </c>
      <c r="F12" s="8"/>
    </row>
    <row r="13" spans="2:16" x14ac:dyDescent="0.25">
      <c r="C13" s="5" t="s">
        <v>2</v>
      </c>
      <c r="D13" s="6">
        <v>166834000</v>
      </c>
      <c r="E13" s="6">
        <v>166834000</v>
      </c>
      <c r="F13" s="8"/>
    </row>
    <row r="14" spans="2:16" x14ac:dyDescent="0.25">
      <c r="C14" s="5" t="s">
        <v>3</v>
      </c>
      <c r="D14" s="6">
        <v>28302000</v>
      </c>
      <c r="E14" s="6">
        <v>28302000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22465998</v>
      </c>
      <c r="E17" s="6">
        <v>22465998</v>
      </c>
      <c r="F17" s="8"/>
    </row>
    <row r="18" spans="3:6" x14ac:dyDescent="0.25">
      <c r="C18" s="3" t="s">
        <v>7</v>
      </c>
      <c r="D18" s="4">
        <f>D19+D20+D21+D22+D23+D24+D25+D26+D27</f>
        <v>78896590</v>
      </c>
      <c r="E18" s="4">
        <f>E19+E20+E21+E22+E23+E24+E25+E26+E27</f>
        <v>80552790</v>
      </c>
      <c r="F18" s="8"/>
    </row>
    <row r="19" spans="3:6" x14ac:dyDescent="0.25">
      <c r="C19" s="5" t="s">
        <v>8</v>
      </c>
      <c r="D19" s="6">
        <v>27452090</v>
      </c>
      <c r="E19" s="6">
        <v>27452090</v>
      </c>
      <c r="F19" s="8"/>
    </row>
    <row r="20" spans="3:6" x14ac:dyDescent="0.25">
      <c r="C20" s="5" t="s">
        <v>9</v>
      </c>
      <c r="D20" s="6">
        <v>215000</v>
      </c>
      <c r="E20" s="6">
        <v>215000</v>
      </c>
      <c r="F20" s="8"/>
    </row>
    <row r="21" spans="3:6" x14ac:dyDescent="0.25">
      <c r="C21" s="5" t="s">
        <v>10</v>
      </c>
      <c r="D21" s="6">
        <v>3700000</v>
      </c>
      <c r="E21" s="6">
        <v>3700000</v>
      </c>
      <c r="F21" s="8"/>
    </row>
    <row r="22" spans="3:6" x14ac:dyDescent="0.25">
      <c r="C22" s="5" t="s">
        <v>11</v>
      </c>
      <c r="D22" s="6">
        <v>1720000</v>
      </c>
      <c r="E22" s="6">
        <v>900000</v>
      </c>
      <c r="F22" s="8"/>
    </row>
    <row r="23" spans="3:6" x14ac:dyDescent="0.25">
      <c r="C23" s="5" t="s">
        <v>12</v>
      </c>
      <c r="D23" s="6">
        <v>23404000</v>
      </c>
      <c r="E23" s="6">
        <v>23036225</v>
      </c>
    </row>
    <row r="24" spans="3:6" x14ac:dyDescent="0.25">
      <c r="C24" s="5" t="s">
        <v>13</v>
      </c>
      <c r="D24" s="6">
        <v>14670500</v>
      </c>
      <c r="E24" s="6">
        <v>14270500</v>
      </c>
    </row>
    <row r="25" spans="3:6" x14ac:dyDescent="0.25">
      <c r="C25" s="5" t="s">
        <v>14</v>
      </c>
      <c r="D25" s="6">
        <v>2820000</v>
      </c>
      <c r="E25" s="6">
        <v>4870000</v>
      </c>
    </row>
    <row r="26" spans="3:6" x14ac:dyDescent="0.25">
      <c r="C26" s="5" t="s">
        <v>15</v>
      </c>
      <c r="D26" s="6">
        <v>1635000</v>
      </c>
      <c r="E26" s="6">
        <v>2635775</v>
      </c>
    </row>
    <row r="27" spans="3:6" x14ac:dyDescent="0.25">
      <c r="C27" s="5" t="s">
        <v>16</v>
      </c>
      <c r="D27" s="6">
        <v>3280000</v>
      </c>
      <c r="E27" s="6">
        <v>3473200</v>
      </c>
    </row>
    <row r="28" spans="3:6" x14ac:dyDescent="0.25">
      <c r="C28" s="3" t="s">
        <v>17</v>
      </c>
      <c r="D28" s="4">
        <f>D29+D30+D31+D32+D33+D34+D35+D37</f>
        <v>14150689</v>
      </c>
      <c r="E28" s="4">
        <f>E29+E30+E31+E32+E33+E34+E35+E37</f>
        <v>14846989</v>
      </c>
    </row>
    <row r="29" spans="3:6" x14ac:dyDescent="0.25">
      <c r="C29" s="5" t="s">
        <v>18</v>
      </c>
      <c r="D29" s="6">
        <v>665000</v>
      </c>
      <c r="E29" s="6">
        <v>592000</v>
      </c>
    </row>
    <row r="30" spans="3:6" x14ac:dyDescent="0.25">
      <c r="C30" s="5" t="s">
        <v>19</v>
      </c>
      <c r="D30" s="6">
        <v>125000</v>
      </c>
      <c r="E30" s="6">
        <v>293300</v>
      </c>
    </row>
    <row r="31" spans="3:6" x14ac:dyDescent="0.25">
      <c r="C31" s="5" t="s">
        <v>20</v>
      </c>
      <c r="D31" s="6">
        <v>475000</v>
      </c>
      <c r="E31" s="6">
        <v>307500</v>
      </c>
    </row>
    <row r="32" spans="3:6" x14ac:dyDescent="0.25">
      <c r="C32" s="5" t="s">
        <v>21</v>
      </c>
      <c r="D32" s="6">
        <v>0</v>
      </c>
      <c r="E32" s="6">
        <v>0</v>
      </c>
    </row>
    <row r="33" spans="3:5" x14ac:dyDescent="0.25">
      <c r="C33" s="5" t="s">
        <v>22</v>
      </c>
      <c r="D33" s="6">
        <v>300000</v>
      </c>
      <c r="E33" s="6">
        <v>305500</v>
      </c>
    </row>
    <row r="34" spans="3:5" x14ac:dyDescent="0.25">
      <c r="C34" s="5" t="s">
        <v>23</v>
      </c>
      <c r="D34" s="6">
        <v>305002</v>
      </c>
      <c r="E34" s="6">
        <v>363002</v>
      </c>
    </row>
    <row r="35" spans="3:5" x14ac:dyDescent="0.25">
      <c r="C35" s="5" t="s">
        <v>24</v>
      </c>
      <c r="D35" s="6">
        <v>11100000</v>
      </c>
      <c r="E35" s="6">
        <v>11326000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1180687</v>
      </c>
      <c r="E37" s="6">
        <v>1659687</v>
      </c>
    </row>
    <row r="38" spans="3:5" x14ac:dyDescent="0.25">
      <c r="C38" s="3" t="s">
        <v>27</v>
      </c>
      <c r="D38" s="4">
        <f>D39</f>
        <v>50000</v>
      </c>
      <c r="E38" s="4">
        <f>E39</f>
        <v>50000</v>
      </c>
    </row>
    <row r="39" spans="3:5" x14ac:dyDescent="0.25">
      <c r="C39" s="5" t="s">
        <v>28</v>
      </c>
      <c r="D39" s="6">
        <v>50000</v>
      </c>
      <c r="E39" s="6">
        <v>50000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1000000</v>
      </c>
      <c r="E54" s="4">
        <f>E55+E58+E59+E56+E62</f>
        <v>1347500</v>
      </c>
    </row>
    <row r="55" spans="3:5" x14ac:dyDescent="0.25">
      <c r="C55" s="5" t="s">
        <v>44</v>
      </c>
      <c r="D55" s="6">
        <v>650000</v>
      </c>
      <c r="E55" s="6">
        <v>1260000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350000</v>
      </c>
      <c r="E59" s="6">
        <v>47500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40000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311699277</v>
      </c>
      <c r="E85" s="23">
        <f>E54+E38+E28+E18+E12</f>
        <v>314399277</v>
      </c>
    </row>
    <row r="87" spans="3:5" hidden="1" x14ac:dyDescent="0.25"/>
    <row r="88" spans="3:5" hidden="1" x14ac:dyDescent="0.25"/>
    <row r="89" spans="3:5" hidden="1" x14ac:dyDescent="0.25"/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91"/>
  <sheetViews>
    <sheetView showGridLines="0" tabSelected="1" workbookViewId="0">
      <selection activeCell="B15" sqref="B15"/>
    </sheetView>
  </sheetViews>
  <sheetFormatPr defaultColWidth="11.42578125" defaultRowHeight="15" x14ac:dyDescent="0.25"/>
  <cols>
    <col min="1" max="1" width="3.140625" customWidth="1"/>
    <col min="2" max="2" width="76.42578125" customWidth="1"/>
    <col min="3" max="3" width="19.5703125" customWidth="1"/>
    <col min="4" max="4" width="16.7109375" customWidth="1"/>
    <col min="5" max="5" width="13.140625" customWidth="1"/>
    <col min="6" max="6" width="15.140625" customWidth="1"/>
    <col min="7" max="8" width="13.28515625" customWidth="1"/>
    <col min="9" max="9" width="13.7109375" customWidth="1"/>
    <col min="10" max="10" width="13" customWidth="1"/>
    <col min="11" max="11" width="12.85546875" customWidth="1"/>
    <col min="12" max="12" width="13.140625" customWidth="1"/>
    <col min="13" max="13" width="12.85546875" customWidth="1"/>
    <col min="14" max="14" width="14" customWidth="1"/>
    <col min="15" max="15" width="12.7109375" customWidth="1"/>
    <col min="16" max="16" width="13.42578125" customWidth="1"/>
    <col min="17" max="17" width="15.5703125" customWidth="1"/>
  </cols>
  <sheetData>
    <row r="1" spans="2:18" ht="28.5" customHeight="1" x14ac:dyDescent="0.25">
      <c r="B1" s="52" t="s">
        <v>111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2:18" ht="21" customHeight="1" x14ac:dyDescent="0.25">
      <c r="B2" s="54" t="s">
        <v>99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2:18" ht="15.75" x14ac:dyDescent="0.25">
      <c r="B3" s="46">
        <v>2025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2:18" ht="15.75" customHeight="1" x14ac:dyDescent="0.25">
      <c r="B4" s="41" t="s">
        <v>92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2:18" ht="15.75" customHeight="1" x14ac:dyDescent="0.25">
      <c r="B5" s="42" t="s">
        <v>77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7" spans="2:18" ht="25.5" customHeight="1" x14ac:dyDescent="0.25">
      <c r="B7" s="43" t="s">
        <v>66</v>
      </c>
      <c r="C7" s="44" t="s">
        <v>94</v>
      </c>
      <c r="D7" s="44" t="s">
        <v>93</v>
      </c>
      <c r="E7" s="49" t="s">
        <v>91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1"/>
    </row>
    <row r="8" spans="2:18" x14ac:dyDescent="0.25">
      <c r="B8" s="43"/>
      <c r="C8" s="45"/>
      <c r="D8" s="45"/>
      <c r="E8" s="15" t="s">
        <v>79</v>
      </c>
      <c r="F8" s="15" t="s">
        <v>80</v>
      </c>
      <c r="G8" s="15" t="s">
        <v>81</v>
      </c>
      <c r="H8" s="15" t="s">
        <v>82</v>
      </c>
      <c r="I8" s="16" t="s">
        <v>83</v>
      </c>
      <c r="J8" s="15" t="s">
        <v>84</v>
      </c>
      <c r="K8" s="16" t="s">
        <v>85</v>
      </c>
      <c r="L8" s="15" t="s">
        <v>86</v>
      </c>
      <c r="M8" s="15" t="s">
        <v>87</v>
      </c>
      <c r="N8" s="15" t="s">
        <v>88</v>
      </c>
      <c r="O8" s="15" t="s">
        <v>89</v>
      </c>
      <c r="P8" s="16" t="s">
        <v>90</v>
      </c>
      <c r="Q8" s="15" t="s">
        <v>78</v>
      </c>
    </row>
    <row r="9" spans="2:18" x14ac:dyDescent="0.25">
      <c r="B9" s="1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8" x14ac:dyDescent="0.25">
      <c r="B10" s="3" t="s">
        <v>1</v>
      </c>
      <c r="C10" s="25">
        <f>C11+C12+C15</f>
        <v>217601998</v>
      </c>
      <c r="D10" s="25">
        <f>D11+D12+D15</f>
        <v>217601998</v>
      </c>
      <c r="E10" s="25">
        <f t="shared" ref="E10:P10" si="0">E11+E12+E15</f>
        <v>14442586.75</v>
      </c>
      <c r="F10" s="25">
        <f t="shared" si="0"/>
        <v>14350642.969999999</v>
      </c>
      <c r="G10" s="25">
        <f t="shared" si="0"/>
        <v>16190801.01</v>
      </c>
      <c r="H10" s="25">
        <f t="shared" si="0"/>
        <v>27027152.419999998</v>
      </c>
      <c r="I10" s="25">
        <f t="shared" si="0"/>
        <v>14161002.27</v>
      </c>
      <c r="J10" s="25">
        <f t="shared" si="0"/>
        <v>14633628.659999998</v>
      </c>
      <c r="K10" s="25">
        <f t="shared" si="0"/>
        <v>14487741.35</v>
      </c>
      <c r="L10" s="25">
        <f t="shared" si="0"/>
        <v>0</v>
      </c>
      <c r="M10" s="25">
        <f t="shared" si="0"/>
        <v>0</v>
      </c>
      <c r="N10" s="25">
        <f t="shared" si="0"/>
        <v>0</v>
      </c>
      <c r="O10" s="25">
        <f t="shared" si="0"/>
        <v>0</v>
      </c>
      <c r="P10" s="25">
        <f t="shared" si="0"/>
        <v>0</v>
      </c>
      <c r="Q10" s="25">
        <f>SUM(E10:P10)</f>
        <v>115293555.42999998</v>
      </c>
    </row>
    <row r="11" spans="2:18" x14ac:dyDescent="0.25">
      <c r="B11" s="5" t="s">
        <v>2</v>
      </c>
      <c r="C11" s="24">
        <v>166834000</v>
      </c>
      <c r="D11" s="24">
        <v>166834000</v>
      </c>
      <c r="E11" s="24">
        <f>12263814.61+22000</f>
        <v>12285814.609999999</v>
      </c>
      <c r="F11" s="24">
        <f>12196731.28+9333.33</f>
        <v>12206064.609999999</v>
      </c>
      <c r="G11" s="24">
        <v>14036483.119999999</v>
      </c>
      <c r="H11" s="24">
        <v>24873991.829999998</v>
      </c>
      <c r="I11" s="24">
        <f>11968631.28+20000+29072.45</f>
        <v>12017703.729999999</v>
      </c>
      <c r="J11" s="24">
        <f>12006464.61+20000+18515+439840.79</f>
        <v>12484820.399999999</v>
      </c>
      <c r="K11" s="24">
        <v>12323850.119999999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f>SUM(E11:P11)</f>
        <v>100228728.41999999</v>
      </c>
    </row>
    <row r="12" spans="2:18" x14ac:dyDescent="0.25">
      <c r="B12" s="5" t="s">
        <v>3</v>
      </c>
      <c r="C12" s="24">
        <v>28302000</v>
      </c>
      <c r="D12" s="24">
        <v>28302000</v>
      </c>
      <c r="E12" s="24">
        <v>309500</v>
      </c>
      <c r="F12" s="24">
        <v>309500</v>
      </c>
      <c r="G12" s="24">
        <v>333500</v>
      </c>
      <c r="H12" s="24">
        <v>333500</v>
      </c>
      <c r="I12" s="24">
        <v>333500</v>
      </c>
      <c r="J12" s="24">
        <v>333500</v>
      </c>
      <c r="K12" s="24">
        <v>333500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f>SUM(E12:P12)</f>
        <v>2286500</v>
      </c>
    </row>
    <row r="13" spans="2:18" x14ac:dyDescent="0.25">
      <c r="B13" s="5" t="s">
        <v>4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17"/>
    </row>
    <row r="14" spans="2:18" x14ac:dyDescent="0.25">
      <c r="B14" s="5" t="s">
        <v>5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2:18" x14ac:dyDescent="0.25">
      <c r="B15" s="5" t="s">
        <v>6</v>
      </c>
      <c r="C15" s="24">
        <v>22465998</v>
      </c>
      <c r="D15" s="24">
        <v>22465998</v>
      </c>
      <c r="E15" s="24">
        <f>864160.42+872292.83+110818.89</f>
        <v>1847272.14</v>
      </c>
      <c r="F15" s="24">
        <f>858506.14+866630.58+109941.64</f>
        <v>1835078.3599999999</v>
      </c>
      <c r="G15" s="24">
        <v>1820817.89</v>
      </c>
      <c r="H15" s="24">
        <f>851146+855772.31+112742.28</f>
        <v>1819660.59</v>
      </c>
      <c r="I15" s="24">
        <f>846572.95+851192.81+112032.78</f>
        <v>1809798.54</v>
      </c>
      <c r="J15" s="24">
        <f>849255.33+853878.98+112173.95</f>
        <v>1815308.26</v>
      </c>
      <c r="K15" s="24">
        <f>856572.21+861206.18+112612.84</f>
        <v>1830391.2300000002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f t="shared" ref="Q15:Q25" si="1">SUM(E15:P15)</f>
        <v>12778327.01</v>
      </c>
    </row>
    <row r="16" spans="2:18" x14ac:dyDescent="0.25">
      <c r="B16" s="3" t="s">
        <v>7</v>
      </c>
      <c r="C16" s="25">
        <f t="shared" ref="C16:H16" si="2">C17+C18+C19+C20+C21+C22+C23+C24+C25</f>
        <v>78896590</v>
      </c>
      <c r="D16" s="25">
        <f t="shared" si="2"/>
        <v>80552790</v>
      </c>
      <c r="E16" s="25">
        <f t="shared" si="2"/>
        <v>4013686.89</v>
      </c>
      <c r="F16" s="25">
        <f t="shared" si="2"/>
        <v>4564432.68</v>
      </c>
      <c r="G16" s="25">
        <f t="shared" si="2"/>
        <v>4875188.9699999988</v>
      </c>
      <c r="H16" s="25">
        <f t="shared" si="2"/>
        <v>4934694.6399999997</v>
      </c>
      <c r="I16" s="25">
        <f>I17+I18+I19+I20+I21+I22+I23+I24+I25</f>
        <v>4598395.13</v>
      </c>
      <c r="J16" s="25">
        <f>J17+J18+J19+J20+J21+J22+J23+J24+J25</f>
        <v>10958809.609999999</v>
      </c>
      <c r="K16" s="25">
        <f>K17+K18+K19+K20+K21+K22+K23+K24+K25</f>
        <v>5917227.2999999989</v>
      </c>
      <c r="L16" s="25">
        <f>L17+L18+L19+L20+L21+L22+L23+L24+L25</f>
        <v>0</v>
      </c>
      <c r="M16" s="25">
        <f>M17+M18+M19+M20+M21+M22+M23+M24+M25</f>
        <v>0</v>
      </c>
      <c r="N16" s="25">
        <f t="shared" ref="N16" si="3">N17+N18+N19+N20+N21+N22+N23+N24</f>
        <v>0</v>
      </c>
      <c r="O16" s="25">
        <f>O17+O18+O19+O20+O21+O22+O23+O24+O25</f>
        <v>0</v>
      </c>
      <c r="P16" s="25">
        <f>P17+P18+P19+P20+P21+P22+P23+P24+P25</f>
        <v>0</v>
      </c>
      <c r="Q16" s="25">
        <f t="shared" si="1"/>
        <v>39862435.219999999</v>
      </c>
    </row>
    <row r="17" spans="2:17" x14ac:dyDescent="0.25">
      <c r="B17" s="5" t="s">
        <v>8</v>
      </c>
      <c r="C17" s="24">
        <v>27452090</v>
      </c>
      <c r="D17" s="24">
        <v>27452090</v>
      </c>
      <c r="E17" s="24">
        <f>815947.89+253249.86+1011994.48+617383.3</f>
        <v>2698575.5300000003</v>
      </c>
      <c r="F17" s="24">
        <f>447933.82+404945.9+1665584.79+571326.66+27615+12329</f>
        <v>3129735.17</v>
      </c>
      <c r="G17" s="24">
        <v>2282632.04</v>
      </c>
      <c r="H17" s="24">
        <f>464494.54+191075.86+914219.55+572706.61+7541+2177</f>
        <v>2152214.56</v>
      </c>
      <c r="I17" s="24">
        <f>453154.61+191322.35+919243.32+558269.96+10270+2780</f>
        <v>2135040.2399999998</v>
      </c>
      <c r="J17" s="24">
        <f>477888.97+197435.31+923194+576243.55+4183+1610</f>
        <v>2180554.83</v>
      </c>
      <c r="K17" s="24">
        <f>469944.2+176144.03+1034079.06+540107.86+10036+8540</f>
        <v>2238851.15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f t="shared" si="1"/>
        <v>16817603.52</v>
      </c>
    </row>
    <row r="18" spans="2:17" x14ac:dyDescent="0.25">
      <c r="B18" s="5" t="s">
        <v>9</v>
      </c>
      <c r="C18" s="24">
        <v>215000</v>
      </c>
      <c r="D18" s="24">
        <v>215000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1500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f t="shared" si="1"/>
        <v>1500</v>
      </c>
    </row>
    <row r="19" spans="2:17" x14ac:dyDescent="0.25">
      <c r="B19" s="5" t="s">
        <v>10</v>
      </c>
      <c r="C19" s="24">
        <v>3700000</v>
      </c>
      <c r="D19" s="24">
        <v>3700000</v>
      </c>
      <c r="E19" s="24">
        <v>0</v>
      </c>
      <c r="F19" s="24">
        <v>119000</v>
      </c>
      <c r="G19" s="24">
        <v>85400</v>
      </c>
      <c r="H19" s="24">
        <v>167517.5</v>
      </c>
      <c r="I19" s="24">
        <v>76450</v>
      </c>
      <c r="J19" s="24">
        <v>93880</v>
      </c>
      <c r="K19" s="24">
        <v>359967.5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f t="shared" si="1"/>
        <v>902215</v>
      </c>
    </row>
    <row r="20" spans="2:17" x14ac:dyDescent="0.25">
      <c r="B20" s="5" t="s">
        <v>11</v>
      </c>
      <c r="C20" s="24">
        <v>1720000</v>
      </c>
      <c r="D20" s="24">
        <v>900000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f t="shared" si="1"/>
        <v>0</v>
      </c>
    </row>
    <row r="21" spans="2:17" x14ac:dyDescent="0.25">
      <c r="B21" s="5" t="s">
        <v>12</v>
      </c>
      <c r="C21" s="24">
        <v>23404000</v>
      </c>
      <c r="D21" s="24">
        <v>23036225</v>
      </c>
      <c r="E21" s="24">
        <v>0</v>
      </c>
      <c r="F21" s="24">
        <v>84488</v>
      </c>
      <c r="G21" s="24">
        <v>355001.48</v>
      </c>
      <c r="H21" s="24">
        <v>147139.93</v>
      </c>
      <c r="I21" s="24">
        <f>81184+141787.8</f>
        <v>222971.8</v>
      </c>
      <c r="J21" s="24">
        <f>6849049.33+81184</f>
        <v>6930233.3300000001</v>
      </c>
      <c r="K21" s="24">
        <f>1462191.62+81184</f>
        <v>1543375.62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f t="shared" si="1"/>
        <v>9283210.1600000001</v>
      </c>
    </row>
    <row r="22" spans="2:17" x14ac:dyDescent="0.25">
      <c r="B22" s="5" t="s">
        <v>13</v>
      </c>
      <c r="C22" s="24">
        <v>14670500</v>
      </c>
      <c r="D22" s="24">
        <v>14270500</v>
      </c>
      <c r="E22" s="24">
        <v>1194917.68</v>
      </c>
      <c r="F22" s="24">
        <v>880511.45</v>
      </c>
      <c r="G22" s="24">
        <v>1565479</v>
      </c>
      <c r="H22" s="24">
        <f>326888.77+1198709.99</f>
        <v>1525598.76</v>
      </c>
      <c r="I22" s="24">
        <f>293205.46+1363636.29</f>
        <v>1656841.75</v>
      </c>
      <c r="J22" s="24">
        <v>1464175.53</v>
      </c>
      <c r="K22" s="24">
        <v>850726.87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f t="shared" si="1"/>
        <v>9138251.0399999991</v>
      </c>
    </row>
    <row r="23" spans="2:17" ht="30" x14ac:dyDescent="0.25">
      <c r="B23" s="29" t="s">
        <v>14</v>
      </c>
      <c r="C23" s="24">
        <v>2820000</v>
      </c>
      <c r="D23" s="24">
        <v>4870000</v>
      </c>
      <c r="E23" s="24">
        <v>42244</v>
      </c>
      <c r="F23" s="24">
        <v>86199</v>
      </c>
      <c r="G23" s="24">
        <v>449532.8</v>
      </c>
      <c r="H23" s="24">
        <v>566400</v>
      </c>
      <c r="I23" s="24">
        <v>7620.8</v>
      </c>
      <c r="J23" s="24">
        <v>0</v>
      </c>
      <c r="K23" s="24">
        <v>149989.79999999999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f t="shared" si="1"/>
        <v>1301986.4000000001</v>
      </c>
    </row>
    <row r="24" spans="2:17" x14ac:dyDescent="0.25">
      <c r="B24" s="5" t="s">
        <v>15</v>
      </c>
      <c r="C24" s="24">
        <v>1635000</v>
      </c>
      <c r="D24" s="24">
        <v>2635775</v>
      </c>
      <c r="E24" s="24">
        <v>0</v>
      </c>
      <c r="F24" s="24">
        <f>5100.05+33000+19116</f>
        <v>57216.05</v>
      </c>
      <c r="G24" s="24">
        <v>17700.009999999998</v>
      </c>
      <c r="H24" s="24">
        <f>525+9300.09+16500+23895+4599.42</f>
        <v>54819.509999999995</v>
      </c>
      <c r="I24" s="24">
        <f>160000+19116</f>
        <v>179116</v>
      </c>
      <c r="J24" s="24">
        <v>73000</v>
      </c>
      <c r="K24" s="24">
        <f>7425+165200+262699.14+19116</f>
        <v>454440.14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f t="shared" si="1"/>
        <v>836291.71</v>
      </c>
    </row>
    <row r="25" spans="2:17" x14ac:dyDescent="0.25">
      <c r="B25" s="5" t="s">
        <v>16</v>
      </c>
      <c r="C25" s="24">
        <v>3280000</v>
      </c>
      <c r="D25" s="24">
        <v>3473200</v>
      </c>
      <c r="E25" s="24">
        <v>77949.679999999993</v>
      </c>
      <c r="F25" s="24">
        <v>207283.01</v>
      </c>
      <c r="G25" s="24">
        <v>119443.64</v>
      </c>
      <c r="H25" s="24">
        <v>321004.38</v>
      </c>
      <c r="I25" s="24">
        <v>320354.53999999998</v>
      </c>
      <c r="J25" s="24">
        <f>93102+122363.92</f>
        <v>215465.91999999998</v>
      </c>
      <c r="K25" s="24">
        <v>319876.21999999997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f t="shared" si="1"/>
        <v>1581377.39</v>
      </c>
    </row>
    <row r="26" spans="2:17" x14ac:dyDescent="0.25">
      <c r="B26" s="3" t="s">
        <v>17</v>
      </c>
      <c r="C26" s="25">
        <f>C27+C28+C29+C30+C31+C32+C33+C35</f>
        <v>14150689</v>
      </c>
      <c r="D26" s="25">
        <f>D27+D28+D29+D30+D31+D32+D33+D35</f>
        <v>14846989</v>
      </c>
      <c r="E26" s="25">
        <f t="shared" ref="E26:Q26" si="4">E27+E28+E29+E30+E31+E32+E33+E35</f>
        <v>725140</v>
      </c>
      <c r="F26" s="25">
        <f t="shared" si="4"/>
        <v>735220</v>
      </c>
      <c r="G26" s="25">
        <f t="shared" si="4"/>
        <v>1203322.1499999999</v>
      </c>
      <c r="H26" s="25">
        <f t="shared" si="4"/>
        <v>559729.84000000008</v>
      </c>
      <c r="I26" s="25">
        <f t="shared" si="4"/>
        <v>959125.32999999984</v>
      </c>
      <c r="J26" s="25">
        <f t="shared" si="4"/>
        <v>1660734.6199999999</v>
      </c>
      <c r="K26" s="25">
        <f t="shared" si="4"/>
        <v>820380.08000000007</v>
      </c>
      <c r="L26" s="25">
        <f t="shared" si="4"/>
        <v>0</v>
      </c>
      <c r="M26" s="25">
        <f t="shared" si="4"/>
        <v>0</v>
      </c>
      <c r="N26" s="25">
        <f t="shared" si="4"/>
        <v>0</v>
      </c>
      <c r="O26" s="25">
        <f t="shared" si="4"/>
        <v>0</v>
      </c>
      <c r="P26" s="25">
        <f t="shared" si="4"/>
        <v>0</v>
      </c>
      <c r="Q26" s="25">
        <f t="shared" si="4"/>
        <v>6663652.0200000005</v>
      </c>
    </row>
    <row r="27" spans="2:17" x14ac:dyDescent="0.25">
      <c r="B27" s="5" t="s">
        <v>18</v>
      </c>
      <c r="C27" s="24">
        <v>665000</v>
      </c>
      <c r="D27" s="24">
        <v>592000</v>
      </c>
      <c r="E27" s="24">
        <v>2640</v>
      </c>
      <c r="F27" s="24">
        <v>12720</v>
      </c>
      <c r="G27" s="24">
        <v>31770.05</v>
      </c>
      <c r="H27" s="24">
        <v>20384.5</v>
      </c>
      <c r="I27" s="24">
        <v>18369.990000000002</v>
      </c>
      <c r="J27" s="24">
        <v>193898.2</v>
      </c>
      <c r="K27" s="24">
        <v>4740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f t="shared" ref="Q27:Q34" si="5">SUM(E27:P27)</f>
        <v>284522.74</v>
      </c>
    </row>
    <row r="28" spans="2:17" x14ac:dyDescent="0.25">
      <c r="B28" s="5" t="s">
        <v>19</v>
      </c>
      <c r="C28" s="24">
        <v>125000</v>
      </c>
      <c r="D28" s="24">
        <v>293300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112930.58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f t="shared" si="5"/>
        <v>112930.58</v>
      </c>
    </row>
    <row r="29" spans="2:17" x14ac:dyDescent="0.25">
      <c r="B29" s="5" t="s">
        <v>20</v>
      </c>
      <c r="C29" s="24">
        <v>475000</v>
      </c>
      <c r="D29" s="24">
        <v>307500</v>
      </c>
      <c r="E29" s="24">
        <v>0</v>
      </c>
      <c r="F29" s="24">
        <v>0</v>
      </c>
      <c r="G29" s="24">
        <v>31246.400000000001</v>
      </c>
      <c r="H29" s="24">
        <v>0</v>
      </c>
      <c r="I29" s="24">
        <v>19352</v>
      </c>
      <c r="J29" s="24">
        <v>52038</v>
      </c>
      <c r="K29" s="24">
        <v>11475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f t="shared" si="5"/>
        <v>114111.4</v>
      </c>
    </row>
    <row r="30" spans="2:17" x14ac:dyDescent="0.25">
      <c r="B30" s="5" t="s">
        <v>21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f t="shared" si="5"/>
        <v>0</v>
      </c>
    </row>
    <row r="31" spans="2:17" x14ac:dyDescent="0.25">
      <c r="B31" s="5" t="s">
        <v>22</v>
      </c>
      <c r="C31" s="24">
        <v>300000</v>
      </c>
      <c r="D31" s="24">
        <v>305500</v>
      </c>
      <c r="E31" s="24">
        <v>0</v>
      </c>
      <c r="F31" s="24">
        <v>0</v>
      </c>
      <c r="G31" s="24">
        <v>0</v>
      </c>
      <c r="H31" s="24">
        <v>0</v>
      </c>
      <c r="I31" s="24">
        <v>7168.5</v>
      </c>
      <c r="J31" s="24">
        <v>140618.23999999999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f t="shared" si="5"/>
        <v>147786.74</v>
      </c>
    </row>
    <row r="32" spans="2:17" x14ac:dyDescent="0.25">
      <c r="B32" s="5" t="s">
        <v>23</v>
      </c>
      <c r="C32" s="24">
        <v>305002</v>
      </c>
      <c r="D32" s="24">
        <v>363002</v>
      </c>
      <c r="E32" s="24">
        <v>0</v>
      </c>
      <c r="F32" s="24">
        <v>0</v>
      </c>
      <c r="G32" s="24">
        <v>3223.43</v>
      </c>
      <c r="H32" s="24">
        <v>324.97000000000003</v>
      </c>
      <c r="I32" s="24">
        <f>1761.47+2643.82</f>
        <v>4405.29</v>
      </c>
      <c r="J32" s="24">
        <f>2884.75+6200.05+217.5+2000.95</f>
        <v>11303.25</v>
      </c>
      <c r="K32" s="24">
        <v>111650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f t="shared" si="5"/>
        <v>130906.94</v>
      </c>
    </row>
    <row r="33" spans="2:17" x14ac:dyDescent="0.25">
      <c r="B33" s="5" t="s">
        <v>24</v>
      </c>
      <c r="C33" s="24">
        <v>11100000</v>
      </c>
      <c r="D33" s="24">
        <v>11326000</v>
      </c>
      <c r="E33" s="24">
        <v>722500</v>
      </c>
      <c r="F33" s="24">
        <v>722500</v>
      </c>
      <c r="G33" s="24">
        <v>1015500</v>
      </c>
      <c r="H33" s="24">
        <v>516862.32</v>
      </c>
      <c r="I33" s="24">
        <f>505000+50548.6+115907.57+2468.44</f>
        <v>673924.60999999987</v>
      </c>
      <c r="J33" s="24">
        <f>789500+99999.22+10431.2+99550.11+16494.71</f>
        <v>1015975.2399999999</v>
      </c>
      <c r="K33" s="24">
        <v>512000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f t="shared" si="5"/>
        <v>5179262.17</v>
      </c>
    </row>
    <row r="34" spans="2:17" x14ac:dyDescent="0.25">
      <c r="B34" s="5" t="s">
        <v>25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f t="shared" si="5"/>
        <v>0</v>
      </c>
    </row>
    <row r="35" spans="2:17" x14ac:dyDescent="0.25">
      <c r="B35" s="5" t="s">
        <v>26</v>
      </c>
      <c r="C35" s="24">
        <v>1180687</v>
      </c>
      <c r="D35" s="24">
        <v>1659687</v>
      </c>
      <c r="E35" s="24">
        <v>0</v>
      </c>
      <c r="F35" s="24">
        <v>0</v>
      </c>
      <c r="G35" s="24">
        <v>121582.27</v>
      </c>
      <c r="H35" s="24">
        <f>11876.94+6062.46+4218.65</f>
        <v>22158.050000000003</v>
      </c>
      <c r="I35" s="24">
        <f>47039.23+90737.28+26000.24+58481.84+12398.5+1247.85</f>
        <v>235904.94</v>
      </c>
      <c r="J35" s="24">
        <f>45492.66+2891.61+74365.37+30343.62+16150.06+1400.9+76257.47</f>
        <v>246901.69</v>
      </c>
      <c r="K35" s="24">
        <f>58498.5+9086</f>
        <v>67584.5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f>SUM(E35:P35)</f>
        <v>694131.45</v>
      </c>
    </row>
    <row r="36" spans="2:17" x14ac:dyDescent="0.25">
      <c r="B36" s="3" t="s">
        <v>27</v>
      </c>
      <c r="C36" s="25">
        <f>C37</f>
        <v>50000</v>
      </c>
      <c r="D36" s="25">
        <f>D37</f>
        <v>50000</v>
      </c>
      <c r="E36" s="25">
        <f t="shared" ref="E36:Q36" si="6">E37</f>
        <v>0</v>
      </c>
      <c r="F36" s="25">
        <f t="shared" si="6"/>
        <v>0</v>
      </c>
      <c r="G36" s="25">
        <f t="shared" si="6"/>
        <v>24000</v>
      </c>
      <c r="H36" s="25">
        <f t="shared" si="6"/>
        <v>0</v>
      </c>
      <c r="I36" s="25">
        <f t="shared" si="6"/>
        <v>0</v>
      </c>
      <c r="J36" s="25">
        <f t="shared" si="6"/>
        <v>0</v>
      </c>
      <c r="K36" s="25">
        <f t="shared" si="6"/>
        <v>0</v>
      </c>
      <c r="L36" s="25">
        <f t="shared" si="6"/>
        <v>0</v>
      </c>
      <c r="M36" s="25">
        <f t="shared" si="6"/>
        <v>0</v>
      </c>
      <c r="N36" s="25">
        <f t="shared" si="6"/>
        <v>0</v>
      </c>
      <c r="O36" s="25">
        <f t="shared" si="6"/>
        <v>0</v>
      </c>
      <c r="P36" s="25">
        <f t="shared" si="6"/>
        <v>0</v>
      </c>
      <c r="Q36" s="25">
        <f t="shared" si="6"/>
        <v>24000</v>
      </c>
    </row>
    <row r="37" spans="2:17" x14ac:dyDescent="0.25">
      <c r="B37" s="5" t="s">
        <v>28</v>
      </c>
      <c r="C37" s="24">
        <v>50000</v>
      </c>
      <c r="D37" s="24">
        <v>50000</v>
      </c>
      <c r="E37" s="24">
        <v>0</v>
      </c>
      <c r="F37" s="24">
        <v>0</v>
      </c>
      <c r="G37" s="24">
        <v>24000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f>SUM(E37:P37)</f>
        <v>24000</v>
      </c>
    </row>
    <row r="38" spans="2:17" x14ac:dyDescent="0.25">
      <c r="B38" s="5" t="s">
        <v>29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</row>
    <row r="39" spans="2:17" x14ac:dyDescent="0.25">
      <c r="B39" s="5" t="s">
        <v>30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</row>
    <row r="40" spans="2:17" x14ac:dyDescent="0.25">
      <c r="B40" s="5" t="s">
        <v>31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</row>
    <row r="41" spans="2:17" x14ac:dyDescent="0.25">
      <c r="B41" s="5" t="s">
        <v>32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</row>
    <row r="42" spans="2:17" x14ac:dyDescent="0.25">
      <c r="B42" s="5" t="s">
        <v>33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</row>
    <row r="43" spans="2:17" x14ac:dyDescent="0.25">
      <c r="B43" s="5" t="s">
        <v>34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</row>
    <row r="44" spans="2:17" x14ac:dyDescent="0.25">
      <c r="B44" s="5" t="s">
        <v>35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</row>
    <row r="45" spans="2:17" x14ac:dyDescent="0.25">
      <c r="B45" s="3" t="s">
        <v>36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5">
      <c r="B46" s="5" t="s">
        <v>37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</row>
    <row r="47" spans="2:17" x14ac:dyDescent="0.25">
      <c r="B47" s="5" t="s">
        <v>38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</row>
    <row r="48" spans="2:17" x14ac:dyDescent="0.25">
      <c r="B48" s="5" t="s">
        <v>39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</row>
    <row r="49" spans="2:17" x14ac:dyDescent="0.25">
      <c r="B49" s="5" t="s">
        <v>40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</row>
    <row r="50" spans="2:17" x14ac:dyDescent="0.25">
      <c r="B50" s="5" t="s">
        <v>41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</row>
    <row r="51" spans="2:17" x14ac:dyDescent="0.25">
      <c r="B51" s="5" t="s">
        <v>42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</row>
    <row r="52" spans="2:17" x14ac:dyDescent="0.25">
      <c r="B52" s="3" t="s">
        <v>43</v>
      </c>
      <c r="C52" s="25">
        <f>C53+C56+C57</f>
        <v>1000000</v>
      </c>
      <c r="D52" s="25">
        <f>D53+D56+D57+D54+D60</f>
        <v>1347500</v>
      </c>
      <c r="E52" s="25">
        <f>E53+E56+E57</f>
        <v>0</v>
      </c>
      <c r="F52" s="25">
        <f>F53+F56+F57</f>
        <v>0</v>
      </c>
      <c r="G52" s="25">
        <f>G53+G56+G57+G60</f>
        <v>842496.34</v>
      </c>
      <c r="H52" s="25">
        <f>H53+H56+H57</f>
        <v>0</v>
      </c>
      <c r="I52" s="25">
        <f>I54+I53</f>
        <v>24721</v>
      </c>
      <c r="J52" s="25">
        <f t="shared" ref="J52:N52" si="7">J53+J56+J57</f>
        <v>78242.290000000008</v>
      </c>
      <c r="K52" s="25">
        <f t="shared" si="7"/>
        <v>0</v>
      </c>
      <c r="L52" s="25">
        <f t="shared" si="7"/>
        <v>0</v>
      </c>
      <c r="M52" s="25">
        <f>M53+M56+M57+M54</f>
        <v>0</v>
      </c>
      <c r="N52" s="25">
        <f t="shared" si="7"/>
        <v>0</v>
      </c>
      <c r="O52" s="25">
        <f>O53+O56+O57+O54+O60</f>
        <v>0</v>
      </c>
      <c r="P52" s="25">
        <f>P53+P56+P57+P54</f>
        <v>0</v>
      </c>
      <c r="Q52" s="25">
        <f>SUM(E52:P52)</f>
        <v>945459.63</v>
      </c>
    </row>
    <row r="53" spans="2:17" x14ac:dyDescent="0.25">
      <c r="B53" s="5" t="s">
        <v>44</v>
      </c>
      <c r="C53" s="24">
        <v>650000</v>
      </c>
      <c r="D53" s="24">
        <v>1260000</v>
      </c>
      <c r="E53" s="24">
        <v>0</v>
      </c>
      <c r="F53" s="24">
        <v>0</v>
      </c>
      <c r="G53" s="24">
        <v>802496.34</v>
      </c>
      <c r="H53" s="24">
        <v>0</v>
      </c>
      <c r="I53" s="24">
        <v>24721</v>
      </c>
      <c r="J53" s="24">
        <v>76934.3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f>SUM(E53:P53)</f>
        <v>904151.64</v>
      </c>
    </row>
    <row r="54" spans="2:17" x14ac:dyDescent="0.25">
      <c r="B54" s="5" t="s">
        <v>45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f>SUM(E54:P54)</f>
        <v>0</v>
      </c>
    </row>
    <row r="55" spans="2:17" x14ac:dyDescent="0.25">
      <c r="B55" s="5" t="s">
        <v>46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f t="shared" ref="Q55:Q57" si="8">SUM(E55:P55)</f>
        <v>0</v>
      </c>
    </row>
    <row r="56" spans="2:17" x14ac:dyDescent="0.25">
      <c r="B56" s="5" t="s">
        <v>47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f t="shared" si="8"/>
        <v>0</v>
      </c>
    </row>
    <row r="57" spans="2:17" x14ac:dyDescent="0.25">
      <c r="B57" s="5" t="s">
        <v>48</v>
      </c>
      <c r="C57" s="24">
        <v>350000</v>
      </c>
      <c r="D57" s="24">
        <v>47500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1307.99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f t="shared" si="8"/>
        <v>1307.99</v>
      </c>
    </row>
    <row r="58" spans="2:17" x14ac:dyDescent="0.25">
      <c r="B58" s="5" t="s">
        <v>49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</row>
    <row r="59" spans="2:17" x14ac:dyDescent="0.25">
      <c r="B59" s="5" t="s">
        <v>50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</row>
    <row r="60" spans="2:17" x14ac:dyDescent="0.25">
      <c r="B60" s="5" t="s">
        <v>51</v>
      </c>
      <c r="C60" s="24">
        <v>0</v>
      </c>
      <c r="D60" s="24">
        <v>40000</v>
      </c>
      <c r="E60" s="24">
        <v>0</v>
      </c>
      <c r="F60" s="24">
        <v>0</v>
      </c>
      <c r="G60" s="24">
        <v>40000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f>SUM(E60:P60)</f>
        <v>40000</v>
      </c>
    </row>
    <row r="61" spans="2:17" x14ac:dyDescent="0.25">
      <c r="B61" s="5" t="s">
        <v>52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</row>
    <row r="62" spans="2:17" x14ac:dyDescent="0.25">
      <c r="B62" s="3" t="s">
        <v>53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5">
      <c r="B63" s="5" t="s">
        <v>54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</row>
    <row r="64" spans="2:17" x14ac:dyDescent="0.25">
      <c r="B64" s="5" t="s">
        <v>55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</row>
    <row r="65" spans="2:17" x14ac:dyDescent="0.25">
      <c r="B65" s="5" t="s">
        <v>56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</row>
    <row r="66" spans="2:17" x14ac:dyDescent="0.25">
      <c r="B66" s="5" t="s">
        <v>57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</row>
    <row r="67" spans="2:17" x14ac:dyDescent="0.25">
      <c r="B67" s="3" t="s">
        <v>58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5">
      <c r="B68" s="5" t="s">
        <v>59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</row>
    <row r="69" spans="2:17" x14ac:dyDescent="0.25">
      <c r="B69" s="5" t="s">
        <v>60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</row>
    <row r="70" spans="2:17" x14ac:dyDescent="0.25">
      <c r="B70" s="3" t="s">
        <v>61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5">
      <c r="B71" s="5" t="s">
        <v>62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</row>
    <row r="72" spans="2:17" x14ac:dyDescent="0.25">
      <c r="B72" s="5" t="s">
        <v>63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</row>
    <row r="73" spans="2:17" x14ac:dyDescent="0.25">
      <c r="B73" s="5" t="s">
        <v>64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</row>
    <row r="74" spans="2:17" x14ac:dyDescent="0.25">
      <c r="B74" s="1" t="s">
        <v>67</v>
      </c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2:17" x14ac:dyDescent="0.25">
      <c r="B75" s="3" t="s">
        <v>68</v>
      </c>
      <c r="C75" s="25"/>
      <c r="D75" s="25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</row>
    <row r="76" spans="2:17" x14ac:dyDescent="0.25">
      <c r="B76" s="5" t="s">
        <v>69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</row>
    <row r="77" spans="2:17" x14ac:dyDescent="0.25">
      <c r="B77" s="5" t="s">
        <v>70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</row>
    <row r="78" spans="2:17" x14ac:dyDescent="0.25">
      <c r="B78" s="3" t="s">
        <v>71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5">
      <c r="B79" s="5" t="s">
        <v>72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</row>
    <row r="80" spans="2:17" x14ac:dyDescent="0.25">
      <c r="B80" s="5" t="s">
        <v>73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</row>
    <row r="81" spans="2:17" x14ac:dyDescent="0.25">
      <c r="B81" s="3" t="s">
        <v>74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</row>
    <row r="82" spans="2:17" x14ac:dyDescent="0.25">
      <c r="B82" s="5" t="s">
        <v>75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</row>
    <row r="83" spans="2:17" x14ac:dyDescent="0.25">
      <c r="B83" s="9" t="s">
        <v>65</v>
      </c>
      <c r="C83" s="28">
        <f>C52+C36+C26+C16+C10</f>
        <v>311699277</v>
      </c>
      <c r="D83" s="28">
        <f>D52+D36+D26+D16+D10</f>
        <v>314399277</v>
      </c>
      <c r="E83" s="28">
        <f t="shared" ref="E83:Q83" si="9">E52+E36+E26+E16+E10</f>
        <v>19181413.640000001</v>
      </c>
      <c r="F83" s="28">
        <f t="shared" si="9"/>
        <v>19650295.649999999</v>
      </c>
      <c r="G83" s="28">
        <f t="shared" si="9"/>
        <v>23135808.469999999</v>
      </c>
      <c r="H83" s="28">
        <f t="shared" si="9"/>
        <v>32521576.899999999</v>
      </c>
      <c r="I83" s="28">
        <f t="shared" si="9"/>
        <v>19743243.73</v>
      </c>
      <c r="J83" s="28">
        <f t="shared" si="9"/>
        <v>27331415.18</v>
      </c>
      <c r="K83" s="28">
        <f t="shared" si="9"/>
        <v>21225348.729999997</v>
      </c>
      <c r="L83" s="28">
        <f t="shared" si="9"/>
        <v>0</v>
      </c>
      <c r="M83" s="28">
        <f t="shared" si="9"/>
        <v>0</v>
      </c>
      <c r="N83" s="28">
        <f t="shared" si="9"/>
        <v>0</v>
      </c>
      <c r="O83" s="28">
        <f t="shared" si="9"/>
        <v>0</v>
      </c>
      <c r="P83" s="28">
        <f t="shared" si="9"/>
        <v>0</v>
      </c>
      <c r="Q83" s="28">
        <f t="shared" si="9"/>
        <v>162789102.29999998</v>
      </c>
    </row>
    <row r="84" spans="2:17" x14ac:dyDescent="0.25">
      <c r="B84" s="38" t="s">
        <v>112</v>
      </c>
      <c r="C84" s="39"/>
    </row>
    <row r="85" spans="2:17" ht="36" customHeight="1" x14ac:dyDescent="0.25"/>
    <row r="86" spans="2:17" ht="18.75" x14ac:dyDescent="0.3">
      <c r="B86" s="31"/>
      <c r="C86" s="31" t="s">
        <v>101</v>
      </c>
      <c r="D86" s="30"/>
      <c r="E86" s="30"/>
      <c r="F86" s="30"/>
      <c r="G86" s="31" t="s">
        <v>102</v>
      </c>
      <c r="I86" s="32"/>
      <c r="K86" s="33"/>
      <c r="L86" s="30"/>
    </row>
    <row r="87" spans="2:17" ht="18.75" x14ac:dyDescent="0.3">
      <c r="B87" s="34"/>
      <c r="C87" s="34" t="s">
        <v>103</v>
      </c>
      <c r="D87" s="32"/>
      <c r="E87" s="30"/>
      <c r="F87" s="30"/>
      <c r="G87" s="34" t="s">
        <v>103</v>
      </c>
      <c r="I87" s="34"/>
      <c r="J87" s="30"/>
      <c r="K87" s="30"/>
      <c r="L87" s="30"/>
    </row>
    <row r="88" spans="2:17" ht="18.75" x14ac:dyDescent="0.3">
      <c r="B88" s="32"/>
      <c r="C88" s="32" t="s">
        <v>104</v>
      </c>
      <c r="D88" s="32"/>
      <c r="E88" s="30"/>
      <c r="F88" s="30"/>
      <c r="G88" s="32" t="s">
        <v>105</v>
      </c>
      <c r="H88" s="48" t="s">
        <v>107</v>
      </c>
      <c r="I88" s="48"/>
      <c r="J88" s="48"/>
      <c r="K88" s="48"/>
      <c r="L88" s="30"/>
    </row>
    <row r="89" spans="2:17" s="56" customFormat="1" ht="18.75" x14ac:dyDescent="0.3">
      <c r="B89" s="31"/>
      <c r="C89" s="31" t="s">
        <v>106</v>
      </c>
      <c r="D89" s="31"/>
      <c r="E89" s="30"/>
      <c r="F89" s="30"/>
      <c r="G89" s="31" t="s">
        <v>108</v>
      </c>
      <c r="I89" s="31"/>
      <c r="J89" s="30"/>
      <c r="K89" s="30"/>
      <c r="L89" s="30"/>
    </row>
    <row r="90" spans="2:17" ht="18.75" x14ac:dyDescent="0.3">
      <c r="E90" s="30"/>
      <c r="F90" s="30"/>
      <c r="G90" s="30"/>
      <c r="I90" s="30"/>
      <c r="J90" s="30"/>
      <c r="K90" s="30"/>
      <c r="L90" s="30"/>
    </row>
    <row r="91" spans="2:17" ht="18.75" x14ac:dyDescent="0.25">
      <c r="C91" s="32"/>
    </row>
  </sheetData>
  <mergeCells count="10">
    <mergeCell ref="H88:K88"/>
    <mergeCell ref="B5:Q5"/>
    <mergeCell ref="E7:Q7"/>
    <mergeCell ref="B1:Q1"/>
    <mergeCell ref="B2:Q2"/>
    <mergeCell ref="B7:B8"/>
    <mergeCell ref="C7:C8"/>
    <mergeCell ref="D7:D8"/>
    <mergeCell ref="B3:Q3"/>
    <mergeCell ref="B4:Q4"/>
  </mergeCells>
  <pageMargins left="0.11811023622047245" right="0.11811023622047245" top="0.19685039370078741" bottom="0.15748031496062992" header="0.31496062992125984" footer="0.31496062992125984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1"/>
  <sheetViews>
    <sheetView showGridLines="0" topLeftCell="A74" zoomScaleNormal="100" workbookViewId="0">
      <selection activeCell="N83" sqref="N83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52" t="s">
        <v>111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5" ht="21" customHeight="1" x14ac:dyDescent="0.25">
      <c r="A3" s="54" t="s">
        <v>100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5" ht="15.75" x14ac:dyDescent="0.25">
      <c r="A4" s="46">
        <v>2025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5" ht="15.75" customHeight="1" x14ac:dyDescent="0.25">
      <c r="A5" s="41" t="s">
        <v>92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5" ht="15.75" customHeight="1" x14ac:dyDescent="0.25">
      <c r="A6" s="42" t="s">
        <v>77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14442586.75</v>
      </c>
      <c r="C10" s="25">
        <f t="shared" ref="C10:M10" si="0">C11+C12+C15</f>
        <v>14350642.969999999</v>
      </c>
      <c r="D10" s="25">
        <f t="shared" si="0"/>
        <v>16190801.01</v>
      </c>
      <c r="E10" s="25">
        <f t="shared" si="0"/>
        <v>27027152.419999998</v>
      </c>
      <c r="F10" s="25">
        <f t="shared" si="0"/>
        <v>14161002.27</v>
      </c>
      <c r="G10" s="25">
        <f t="shared" si="0"/>
        <v>14633628.66</v>
      </c>
      <c r="H10" s="25">
        <f t="shared" si="0"/>
        <v>14487741.35</v>
      </c>
      <c r="I10" s="25">
        <f>I11+I12+I15</f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115293555.42999998</v>
      </c>
    </row>
    <row r="11" spans="1:15" ht="17.25" customHeight="1" x14ac:dyDescent="0.25">
      <c r="A11" s="5" t="s">
        <v>2</v>
      </c>
      <c r="B11" s="24">
        <v>12285814.609999999</v>
      </c>
      <c r="C11" s="24">
        <v>12206064.609999999</v>
      </c>
      <c r="D11" s="24">
        <f>12083464.61+29333.33+1622250+301435.18</f>
        <v>14036483.119999999</v>
      </c>
      <c r="E11" s="24">
        <v>24873991.829999998</v>
      </c>
      <c r="F11" s="24">
        <v>12017703.73</v>
      </c>
      <c r="G11" s="24">
        <v>12484820.4</v>
      </c>
      <c r="H11" s="24">
        <v>12323850.119999999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100228728.42</v>
      </c>
    </row>
    <row r="12" spans="1:15" ht="17.25" customHeight="1" x14ac:dyDescent="0.25">
      <c r="A12" s="5" t="s">
        <v>3</v>
      </c>
      <c r="B12" s="24">
        <v>309500</v>
      </c>
      <c r="C12" s="24">
        <v>309500</v>
      </c>
      <c r="D12" s="24">
        <v>333500</v>
      </c>
      <c r="E12" s="24">
        <v>333500</v>
      </c>
      <c r="F12" s="24">
        <v>333500</v>
      </c>
      <c r="G12" s="24">
        <v>333500</v>
      </c>
      <c r="H12" s="24">
        <v>333500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2286500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1847272.14</v>
      </c>
      <c r="C15" s="24">
        <v>1835078.36</v>
      </c>
      <c r="D15" s="24">
        <f>851893.53+860008.65+108915.71</f>
        <v>1820817.8900000001</v>
      </c>
      <c r="E15" s="24">
        <v>1819660.59</v>
      </c>
      <c r="F15" s="24">
        <v>1809798.54</v>
      </c>
      <c r="G15" s="24">
        <v>1815308.26</v>
      </c>
      <c r="H15" s="24">
        <v>1830391.23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12778327.01</v>
      </c>
    </row>
    <row r="16" spans="1:15" ht="17.25" customHeight="1" x14ac:dyDescent="0.25">
      <c r="A16" s="3" t="s">
        <v>7</v>
      </c>
      <c r="B16" s="25">
        <f t="shared" ref="B16:I16" si="1">B17+B18+B19+B20+B21+B22+B23+B24+B25</f>
        <v>4013686.89</v>
      </c>
      <c r="C16" s="25">
        <f t="shared" si="1"/>
        <v>4564432.68</v>
      </c>
      <c r="D16" s="25">
        <f t="shared" si="1"/>
        <v>4875188.9699999988</v>
      </c>
      <c r="E16" s="25">
        <f>E17+E18+E19+E20+E21+E22+E23+E24+E25</f>
        <v>4934694.6399999997</v>
      </c>
      <c r="F16" s="25">
        <f t="shared" si="1"/>
        <v>4598395.13</v>
      </c>
      <c r="G16" s="25">
        <f>G17+G18+G19+G20+G21+G22+G23+G24+G25</f>
        <v>10958809.609999999</v>
      </c>
      <c r="H16" s="25">
        <f t="shared" si="1"/>
        <v>5917227.2999999989</v>
      </c>
      <c r="I16" s="25">
        <f t="shared" si="1"/>
        <v>0</v>
      </c>
      <c r="J16" s="25">
        <f>J17+J18+J19+J20+J21+J22+J23+J24+J25</f>
        <v>0</v>
      </c>
      <c r="K16" s="25">
        <f t="shared" ref="K16" si="2">K17+K18+K19+K20+K21+K22+K23+K24</f>
        <v>0</v>
      </c>
      <c r="L16" s="25">
        <f>L17+L18+L19+L20+L21+L22+L23+L24+L25</f>
        <v>0</v>
      </c>
      <c r="M16" s="25">
        <f>M17+M18+M19+M20+M21+M22+M23+M24+M25</f>
        <v>0</v>
      </c>
      <c r="N16" s="25">
        <f>N17+N18+N19+N20+N21+N22+N23+N24+N25</f>
        <v>39862435.219999999</v>
      </c>
    </row>
    <row r="17" spans="1:14" ht="17.25" customHeight="1" x14ac:dyDescent="0.25">
      <c r="A17" s="5" t="s">
        <v>8</v>
      </c>
      <c r="B17" s="24">
        <v>2698575.53</v>
      </c>
      <c r="C17" s="24">
        <v>3129735.17</v>
      </c>
      <c r="D17" s="24">
        <f>440808.48+271168.95+920792.42+643488.19+3874+2500</f>
        <v>2282632.04</v>
      </c>
      <c r="E17" s="24">
        <v>2152214.56</v>
      </c>
      <c r="F17" s="24">
        <v>2135040.2400000002</v>
      </c>
      <c r="G17" s="24">
        <v>2180554.83</v>
      </c>
      <c r="H17" s="24">
        <v>2238851.15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16817603.52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1500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3">SUM(B18:M18)</f>
        <v>1500</v>
      </c>
    </row>
    <row r="19" spans="1:14" ht="17.25" customHeight="1" x14ac:dyDescent="0.25">
      <c r="A19" s="5" t="s">
        <v>10</v>
      </c>
      <c r="B19" s="24">
        <v>0</v>
      </c>
      <c r="C19" s="24">
        <v>119000</v>
      </c>
      <c r="D19" s="24">
        <v>85400</v>
      </c>
      <c r="E19" s="24">
        <v>167517.5</v>
      </c>
      <c r="F19" s="24">
        <v>76450</v>
      </c>
      <c r="G19" s="24">
        <v>93880</v>
      </c>
      <c r="H19" s="24">
        <v>359967.5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3"/>
        <v>902215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3"/>
        <v>0</v>
      </c>
    </row>
    <row r="21" spans="1:14" ht="17.25" customHeight="1" x14ac:dyDescent="0.25">
      <c r="A21" s="5" t="s">
        <v>12</v>
      </c>
      <c r="B21" s="24">
        <v>0</v>
      </c>
      <c r="C21" s="24">
        <v>84488</v>
      </c>
      <c r="D21" s="24">
        <f>147618+207383.48</f>
        <v>355001.48</v>
      </c>
      <c r="E21" s="24">
        <f>65955.93+81184</f>
        <v>147139.93</v>
      </c>
      <c r="F21" s="24">
        <v>222971.8</v>
      </c>
      <c r="G21" s="24">
        <v>6930233.3300000001</v>
      </c>
      <c r="H21" s="24">
        <v>1543375.62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3"/>
        <v>9283210.1600000001</v>
      </c>
    </row>
    <row r="22" spans="1:14" ht="17.25" customHeight="1" x14ac:dyDescent="0.25">
      <c r="A22" s="5" t="s">
        <v>13</v>
      </c>
      <c r="B22" s="24">
        <v>1194917.68</v>
      </c>
      <c r="C22" s="24">
        <v>880511.45</v>
      </c>
      <c r="D22" s="24">
        <v>1565479</v>
      </c>
      <c r="E22" s="24">
        <v>1525598.76</v>
      </c>
      <c r="F22" s="24">
        <v>1656841.75</v>
      </c>
      <c r="G22" s="24">
        <v>1464175.53</v>
      </c>
      <c r="H22" s="24">
        <v>850726.87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f t="shared" si="3"/>
        <v>9138251.0399999991</v>
      </c>
    </row>
    <row r="23" spans="1:14" ht="27" customHeight="1" x14ac:dyDescent="0.25">
      <c r="A23" s="29" t="s">
        <v>14</v>
      </c>
      <c r="B23" s="24">
        <v>42244</v>
      </c>
      <c r="C23" s="24">
        <v>86199</v>
      </c>
      <c r="D23" s="24">
        <f>88500+319732.8+41300</f>
        <v>449532.8</v>
      </c>
      <c r="E23" s="24">
        <v>566400</v>
      </c>
      <c r="F23" s="24">
        <v>7620.8</v>
      </c>
      <c r="G23" s="24">
        <v>0</v>
      </c>
      <c r="H23" s="24">
        <v>149989.79999999999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f t="shared" si="3"/>
        <v>1301986.4000000001</v>
      </c>
    </row>
    <row r="24" spans="1:14" ht="17.25" customHeight="1" x14ac:dyDescent="0.25">
      <c r="A24" s="5" t="s">
        <v>15</v>
      </c>
      <c r="B24" s="24">
        <v>0</v>
      </c>
      <c r="C24" s="24">
        <v>57216.05</v>
      </c>
      <c r="D24" s="24">
        <f>1200.01+16500</f>
        <v>17700.009999999998</v>
      </c>
      <c r="E24" s="24">
        <v>54819.51</v>
      </c>
      <c r="F24" s="24">
        <v>179116</v>
      </c>
      <c r="G24" s="24">
        <v>73000</v>
      </c>
      <c r="H24" s="24">
        <v>454440.14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836291.71</v>
      </c>
    </row>
    <row r="25" spans="1:14" ht="17.25" customHeight="1" x14ac:dyDescent="0.25">
      <c r="A25" s="5" t="s">
        <v>16</v>
      </c>
      <c r="B25" s="24">
        <v>77949.679999999993</v>
      </c>
      <c r="C25" s="24">
        <v>207283.01</v>
      </c>
      <c r="D25" s="24">
        <v>119443.64</v>
      </c>
      <c r="E25" s="24">
        <v>321004.38</v>
      </c>
      <c r="F25" s="24">
        <v>320354.53999999998</v>
      </c>
      <c r="G25" s="24">
        <v>215465.92</v>
      </c>
      <c r="H25" s="24">
        <v>319876.21999999997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1581377.39</v>
      </c>
    </row>
    <row r="26" spans="1:14" ht="17.25" customHeight="1" x14ac:dyDescent="0.25">
      <c r="A26" s="3" t="s">
        <v>17</v>
      </c>
      <c r="B26" s="25">
        <f>B27+B28+B29+B30+B31+B32+B33</f>
        <v>725140</v>
      </c>
      <c r="C26" s="25">
        <f>C27+C28+C29+C30+C31+C32+C33+C35</f>
        <v>735220</v>
      </c>
      <c r="D26" s="25">
        <f>D27+D28+D29+D30+D31+D32+D33+D35</f>
        <v>1203322.1499999999</v>
      </c>
      <c r="E26" s="25">
        <f>E27+E28+E29+E30+E31+E32+E35+E33</f>
        <v>559729.84</v>
      </c>
      <c r="F26" s="25">
        <f t="shared" ref="F26:N26" si="4">F27+F28+F29+F30+F31+F32+F33+F35</f>
        <v>959125.33000000007</v>
      </c>
      <c r="G26" s="25">
        <f t="shared" si="4"/>
        <v>1660734.6199999999</v>
      </c>
      <c r="H26" s="25">
        <f t="shared" si="4"/>
        <v>820380.08000000007</v>
      </c>
      <c r="I26" s="25">
        <f t="shared" si="4"/>
        <v>0</v>
      </c>
      <c r="J26" s="25">
        <f t="shared" si="4"/>
        <v>0</v>
      </c>
      <c r="K26" s="25">
        <f t="shared" si="4"/>
        <v>0</v>
      </c>
      <c r="L26" s="25">
        <f t="shared" si="4"/>
        <v>0</v>
      </c>
      <c r="M26" s="25">
        <f t="shared" si="4"/>
        <v>0</v>
      </c>
      <c r="N26" s="25">
        <f t="shared" si="4"/>
        <v>6663652.0200000005</v>
      </c>
    </row>
    <row r="27" spans="1:14" ht="17.25" customHeight="1" x14ac:dyDescent="0.25">
      <c r="A27" s="5" t="s">
        <v>18</v>
      </c>
      <c r="B27" s="24">
        <v>2640</v>
      </c>
      <c r="C27" s="24">
        <v>12720</v>
      </c>
      <c r="D27" s="24">
        <v>31770.05</v>
      </c>
      <c r="E27" s="24">
        <v>20384.5</v>
      </c>
      <c r="F27" s="24">
        <v>18369.990000000002</v>
      </c>
      <c r="G27" s="24">
        <v>193898.2</v>
      </c>
      <c r="H27" s="24">
        <v>4740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7" si="5">SUM(B27:M27)</f>
        <v>284522.74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112930.58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5"/>
        <v>112930.58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31246.400000000001</v>
      </c>
      <c r="E29" s="24">
        <v>0</v>
      </c>
      <c r="F29" s="24">
        <v>19352</v>
      </c>
      <c r="G29" s="24">
        <v>52038</v>
      </c>
      <c r="H29" s="24">
        <v>11475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5"/>
        <v>114111.4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5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7168.5</v>
      </c>
      <c r="G31" s="24">
        <v>140618.23999999999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5"/>
        <v>147786.74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f>662.22+2561.21</f>
        <v>3223.4300000000003</v>
      </c>
      <c r="E32" s="24">
        <v>324.97000000000003</v>
      </c>
      <c r="F32" s="24">
        <v>4405.29</v>
      </c>
      <c r="G32" s="24">
        <v>11303.25</v>
      </c>
      <c r="H32" s="24">
        <v>111650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5"/>
        <v>130906.94</v>
      </c>
    </row>
    <row r="33" spans="1:14" ht="17.25" customHeight="1" x14ac:dyDescent="0.25">
      <c r="A33" s="5" t="s">
        <v>24</v>
      </c>
      <c r="B33" s="24">
        <v>722500</v>
      </c>
      <c r="C33" s="24">
        <v>722500</v>
      </c>
      <c r="D33" s="24">
        <f>1015500</f>
        <v>1015500</v>
      </c>
      <c r="E33" s="24">
        <v>516862.32</v>
      </c>
      <c r="F33" s="24">
        <v>673924.61</v>
      </c>
      <c r="G33" s="24">
        <v>1015975.24</v>
      </c>
      <c r="H33" s="24">
        <v>512000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5"/>
        <v>5179262.17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f>38958.76+15538.62+14062.66+45572.3+7449.93</f>
        <v>121582.27000000002</v>
      </c>
      <c r="E35" s="24">
        <v>22158.05</v>
      </c>
      <c r="F35" s="24">
        <v>235904.94</v>
      </c>
      <c r="G35" s="24">
        <v>246901.69</v>
      </c>
      <c r="H35" s="24">
        <v>67584.5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5"/>
        <v>694131.45</v>
      </c>
    </row>
    <row r="36" spans="1:14" ht="17.25" customHeight="1" x14ac:dyDescent="0.25">
      <c r="A36" s="3" t="s">
        <v>27</v>
      </c>
      <c r="B36" s="25">
        <f t="shared" ref="B36:N36" si="6">B37+B38+B39+B40+B41+B42</f>
        <v>0</v>
      </c>
      <c r="C36" s="25">
        <f t="shared" si="6"/>
        <v>0</v>
      </c>
      <c r="D36" s="25">
        <f t="shared" si="6"/>
        <v>24000</v>
      </c>
      <c r="E36" s="25">
        <f t="shared" si="6"/>
        <v>0</v>
      </c>
      <c r="F36" s="25">
        <f t="shared" si="6"/>
        <v>0</v>
      </c>
      <c r="G36" s="25">
        <f t="shared" si="6"/>
        <v>0</v>
      </c>
      <c r="H36" s="25">
        <f t="shared" si="6"/>
        <v>0</v>
      </c>
      <c r="I36" s="25">
        <f t="shared" si="6"/>
        <v>0</v>
      </c>
      <c r="J36" s="25">
        <f t="shared" si="6"/>
        <v>0</v>
      </c>
      <c r="K36" s="25">
        <f t="shared" si="6"/>
        <v>0</v>
      </c>
      <c r="L36" s="25">
        <f t="shared" si="6"/>
        <v>0</v>
      </c>
      <c r="M36" s="25">
        <f t="shared" si="6"/>
        <v>0</v>
      </c>
      <c r="N36" s="25">
        <f t="shared" si="6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5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7">B46</f>
        <v>0</v>
      </c>
      <c r="C45" s="25">
        <f t="shared" si="7"/>
        <v>0</v>
      </c>
      <c r="D45" s="25">
        <f t="shared" si="7"/>
        <v>0</v>
      </c>
      <c r="E45" s="25">
        <f t="shared" si="7"/>
        <v>0</v>
      </c>
      <c r="F45" s="25">
        <f t="shared" si="7"/>
        <v>0</v>
      </c>
      <c r="G45" s="25">
        <f t="shared" si="7"/>
        <v>0</v>
      </c>
      <c r="H45" s="25">
        <f t="shared" si="7"/>
        <v>0</v>
      </c>
      <c r="I45" s="25">
        <f t="shared" si="7"/>
        <v>0</v>
      </c>
      <c r="J45" s="25">
        <f t="shared" si="7"/>
        <v>0</v>
      </c>
      <c r="K45" s="25">
        <f t="shared" si="7"/>
        <v>0</v>
      </c>
      <c r="L45" s="25">
        <f t="shared" si="7"/>
        <v>0</v>
      </c>
      <c r="M45" s="25">
        <f t="shared" si="7"/>
        <v>0</v>
      </c>
      <c r="N45" s="25">
        <f t="shared" si="7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D53+D60</f>
        <v>842496.34</v>
      </c>
      <c r="E52" s="25">
        <f>E53+E57+E60</f>
        <v>0</v>
      </c>
      <c r="F52" s="25">
        <f>F54+F53</f>
        <v>24721</v>
      </c>
      <c r="G52" s="25">
        <f>G54+G53+G56+G57</f>
        <v>78242.290000000008</v>
      </c>
      <c r="H52" s="25">
        <f>H53+H57</f>
        <v>0</v>
      </c>
      <c r="I52" s="25">
        <f>I53</f>
        <v>0</v>
      </c>
      <c r="J52" s="25">
        <f>J53+J54</f>
        <v>0</v>
      </c>
      <c r="K52" s="25">
        <f>K53</f>
        <v>0</v>
      </c>
      <c r="L52" s="25">
        <f>L55+L60</f>
        <v>0</v>
      </c>
      <c r="M52" s="25">
        <f>M53+M54+M57</f>
        <v>0</v>
      </c>
      <c r="N52" s="25">
        <f t="shared" ref="N52:N57" si="8">SUM(B52:M52)</f>
        <v>945459.63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802496.34</v>
      </c>
      <c r="E53" s="24">
        <v>0</v>
      </c>
      <c r="F53" s="24">
        <v>24721</v>
      </c>
      <c r="G53" s="24">
        <v>76934.3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 t="shared" si="8"/>
        <v>904151.64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 t="shared" si="8"/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f t="shared" si="8"/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 t="shared" si="8"/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1307.99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 t="shared" si="8"/>
        <v>1307.99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f t="shared" ref="N58:N61" si="9">SUM(B58:M58)</f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f t="shared" si="9"/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40000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f t="shared" si="9"/>
        <v>40000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f t="shared" si="9"/>
        <v>0</v>
      </c>
    </row>
    <row r="62" spans="1:14" ht="17.25" customHeight="1" x14ac:dyDescent="0.25">
      <c r="A62" s="3" t="s">
        <v>53</v>
      </c>
      <c r="B62" s="25">
        <f t="shared" ref="B62:N62" si="10">B63</f>
        <v>0</v>
      </c>
      <c r="C62" s="25">
        <f t="shared" si="10"/>
        <v>0</v>
      </c>
      <c r="D62" s="25">
        <f t="shared" si="10"/>
        <v>0</v>
      </c>
      <c r="E62" s="25">
        <f t="shared" si="10"/>
        <v>0</v>
      </c>
      <c r="F62" s="25">
        <f t="shared" si="10"/>
        <v>0</v>
      </c>
      <c r="G62" s="25">
        <f t="shared" si="10"/>
        <v>0</v>
      </c>
      <c r="H62" s="25">
        <f t="shared" si="10"/>
        <v>0</v>
      </c>
      <c r="I62" s="25">
        <f t="shared" si="10"/>
        <v>0</v>
      </c>
      <c r="J62" s="25">
        <f t="shared" si="10"/>
        <v>0</v>
      </c>
      <c r="K62" s="25">
        <f t="shared" si="10"/>
        <v>0</v>
      </c>
      <c r="L62" s="25">
        <f t="shared" si="10"/>
        <v>0</v>
      </c>
      <c r="M62" s="25">
        <f t="shared" si="10"/>
        <v>0</v>
      </c>
      <c r="N62" s="25">
        <f t="shared" si="10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19181413.640000001</v>
      </c>
      <c r="C83" s="26">
        <f>C52+C16+C10+C26</f>
        <v>19650295.649999999</v>
      </c>
      <c r="D83" s="26">
        <f>D52+D16+D10+D26+D36</f>
        <v>23135808.469999999</v>
      </c>
      <c r="E83" s="26">
        <f>E52+E16+E10+E26</f>
        <v>32521576.899999999</v>
      </c>
      <c r="F83" s="26">
        <f>F52+F16+F10+F26</f>
        <v>19743243.729999997</v>
      </c>
      <c r="G83" s="26">
        <f>G52+G16+G10+G26</f>
        <v>27331415.18</v>
      </c>
      <c r="H83" s="26">
        <f>H52+H16+H10+H26</f>
        <v>21225348.729999997</v>
      </c>
      <c r="I83" s="26">
        <f>I52+I26+I16+I10</f>
        <v>0</v>
      </c>
      <c r="J83" s="26">
        <f>J52+J26+J16+J10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N52+N26+N16+N10+N36</f>
        <v>162789102.29999998</v>
      </c>
    </row>
    <row r="84" spans="1:14" x14ac:dyDescent="0.25">
      <c r="A84" s="38" t="s">
        <v>112</v>
      </c>
    </row>
    <row r="85" spans="1:14" x14ac:dyDescent="0.25">
      <c r="A85" s="37"/>
    </row>
    <row r="86" spans="1:14" ht="18.75" x14ac:dyDescent="0.3">
      <c r="A86" s="31" t="s">
        <v>101</v>
      </c>
      <c r="B86" s="30"/>
      <c r="C86" s="30"/>
      <c r="D86" s="30"/>
      <c r="E86" s="31" t="s">
        <v>102</v>
      </c>
      <c r="G86" s="32"/>
      <c r="I86" s="33"/>
      <c r="J86" s="30"/>
    </row>
    <row r="87" spans="1:14" ht="47.25" customHeight="1" x14ac:dyDescent="0.3">
      <c r="A87" s="34" t="s">
        <v>103</v>
      </c>
      <c r="B87" s="32"/>
      <c r="C87" s="30"/>
      <c r="D87" s="30"/>
      <c r="E87" s="34" t="s">
        <v>103</v>
      </c>
      <c r="G87" s="34"/>
      <c r="H87" s="30"/>
      <c r="I87" s="30"/>
      <c r="J87" s="30"/>
    </row>
    <row r="88" spans="1:14" ht="18.75" x14ac:dyDescent="0.3">
      <c r="A88" s="32" t="s">
        <v>104</v>
      </c>
      <c r="B88" s="32"/>
      <c r="C88" s="30"/>
      <c r="D88" s="30"/>
      <c r="E88" s="32" t="s">
        <v>109</v>
      </c>
      <c r="F88" s="36"/>
      <c r="G88" s="36"/>
      <c r="H88" s="36"/>
      <c r="I88" s="36"/>
      <c r="J88" s="30"/>
    </row>
    <row r="89" spans="1:14" ht="18.75" x14ac:dyDescent="0.3">
      <c r="A89" s="32" t="s">
        <v>106</v>
      </c>
      <c r="B89" s="32"/>
      <c r="C89" s="30"/>
      <c r="D89" s="30"/>
      <c r="E89" s="32" t="s">
        <v>110</v>
      </c>
      <c r="G89" s="32"/>
      <c r="H89" s="30"/>
      <c r="I89" s="30"/>
      <c r="J89" s="30"/>
    </row>
    <row r="90" spans="1:14" ht="18.75" x14ac:dyDescent="0.3">
      <c r="C90" s="30"/>
      <c r="D90" s="30"/>
      <c r="E90" s="30"/>
      <c r="G90" s="30"/>
      <c r="H90" s="30"/>
      <c r="I90" s="30"/>
      <c r="J90" s="30"/>
    </row>
    <row r="91" spans="1:14" ht="18.75" x14ac:dyDescent="0.25">
      <c r="A91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15748031496062992" bottom="0.19685039370078741" header="0.31496062992125984" footer="0.31496062992125984"/>
  <pageSetup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2025-08-04T12:27:10Z</cp:lastPrinted>
  <dcterms:created xsi:type="dcterms:W3CDTF">2021-07-29T18:58:50Z</dcterms:created>
  <dcterms:modified xsi:type="dcterms:W3CDTF">2025-08-06T18:18:20Z</dcterms:modified>
</cp:coreProperties>
</file>