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93AB1ED6-0978-4843-B083-CB98E14B34D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" l="1"/>
  <c r="P14" i="2"/>
  <c r="I36" i="2"/>
  <c r="I34" i="2"/>
  <c r="I33" i="2"/>
  <c r="I26" i="2"/>
  <c r="I22" i="2"/>
  <c r="I18" i="2"/>
  <c r="I12" i="2"/>
  <c r="I16" i="2"/>
  <c r="H36" i="2" l="1"/>
  <c r="H34" i="2"/>
  <c r="H33" i="2"/>
  <c r="H22" i="2"/>
  <c r="H25" i="2"/>
  <c r="H23" i="2"/>
  <c r="H18" i="2"/>
  <c r="H12" i="2"/>
  <c r="H16" i="2"/>
  <c r="E16" i="3"/>
  <c r="E21" i="3"/>
  <c r="H17" i="2" l="1"/>
  <c r="G36" i="2"/>
  <c r="G25" i="2"/>
  <c r="G23" i="2"/>
  <c r="G18" i="2"/>
  <c r="G16" i="2"/>
  <c r="P61" i="2" l="1"/>
  <c r="F53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5" i="2"/>
  <c r="E18" i="2" l="1"/>
  <c r="E16" i="2"/>
  <c r="E12" i="2"/>
  <c r="D18" i="2"/>
  <c r="D12" i="2"/>
  <c r="D16" i="2"/>
  <c r="E54" i="1"/>
  <c r="L16" i="3" l="1"/>
  <c r="L52" i="3"/>
  <c r="N55" i="3"/>
  <c r="N61" i="3"/>
  <c r="N60" i="3"/>
  <c r="N59" i="3"/>
  <c r="N58" i="3"/>
  <c r="N53" i="2"/>
  <c r="N17" i="2"/>
  <c r="J52" i="3"/>
  <c r="J26" i="3"/>
  <c r="J16" i="3"/>
  <c r="L53" i="2"/>
  <c r="L17" i="2"/>
  <c r="C53" i="2"/>
  <c r="G16" i="3"/>
  <c r="G52" i="3"/>
  <c r="I17" i="2"/>
  <c r="G26" i="3" l="1"/>
  <c r="F26" i="3"/>
  <c r="F52" i="3"/>
  <c r="F16" i="3"/>
  <c r="H53" i="2"/>
  <c r="P38" i="2"/>
  <c r="E26" i="3"/>
  <c r="G17" i="2" l="1"/>
  <c r="E17" i="2"/>
  <c r="E18" i="1" l="1"/>
  <c r="F17" i="2"/>
  <c r="N37" i="3" l="1"/>
  <c r="D16" i="3"/>
  <c r="B16" i="3" l="1"/>
  <c r="B11" i="2"/>
  <c r="D17" i="2"/>
  <c r="C16" i="3"/>
  <c r="D28" i="1"/>
  <c r="D12" i="1"/>
  <c r="M16" i="3"/>
  <c r="M26" i="3"/>
  <c r="M52" i="3"/>
  <c r="O17" i="2"/>
  <c r="K26" i="3"/>
  <c r="P35" i="2"/>
  <c r="P58" i="2"/>
  <c r="P57" i="2"/>
  <c r="P56" i="2"/>
  <c r="H16" i="3" l="1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7" i="2"/>
  <c r="D18" i="1" l="1"/>
  <c r="M10" i="3"/>
  <c r="O53" i="2"/>
  <c r="C37" i="2"/>
  <c r="C17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5" i="2"/>
  <c r="P54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I27" i="2"/>
  <c r="H27" i="2"/>
  <c r="G27" i="2"/>
  <c r="F27" i="2"/>
  <c r="E27" i="2"/>
  <c r="D27" i="2"/>
  <c r="M17" i="2"/>
  <c r="O11" i="2"/>
  <c r="N11" i="2"/>
  <c r="M11" i="2"/>
  <c r="L11" i="2"/>
  <c r="K11" i="2"/>
  <c r="J11" i="2"/>
  <c r="I11" i="2"/>
  <c r="H11" i="2"/>
  <c r="G11" i="2"/>
  <c r="F11" i="2"/>
  <c r="E11" i="2"/>
  <c r="D11" i="2"/>
  <c r="B53" i="2"/>
  <c r="B37" i="2"/>
  <c r="C27" i="2"/>
  <c r="C84" i="2" s="1"/>
  <c r="B27" i="2"/>
  <c r="C11" i="2"/>
  <c r="P11" i="2" l="1"/>
  <c r="K83" i="3"/>
  <c r="E83" i="3"/>
  <c r="C83" i="3"/>
  <c r="B83" i="3"/>
  <c r="M83" i="3"/>
  <c r="L83" i="3"/>
  <c r="B84" i="2"/>
  <c r="P53" i="2"/>
  <c r="I83" i="3"/>
  <c r="N26" i="3"/>
  <c r="N10" i="3"/>
  <c r="N16" i="3"/>
  <c r="N52" i="3"/>
  <c r="P27" i="2"/>
  <c r="F84" i="2"/>
  <c r="G84" i="2"/>
  <c r="P17" i="2"/>
  <c r="O84" i="2"/>
  <c r="I84" i="2"/>
  <c r="M84" i="2"/>
  <c r="N84" i="2"/>
  <c r="H84" i="2"/>
  <c r="L84" i="2"/>
  <c r="K84" i="2"/>
  <c r="J84" i="2"/>
  <c r="E84" i="2"/>
  <c r="D84" i="2"/>
  <c r="D54" i="1"/>
  <c r="E38" i="1"/>
  <c r="D38" i="1"/>
  <c r="E28" i="1"/>
  <c r="E12" i="1"/>
  <c r="E85" i="1" l="1"/>
  <c r="N83" i="3"/>
  <c r="D85" i="1"/>
  <c r="P84" i="2"/>
</calcChain>
</file>

<file path=xl/sharedStrings.xml><?xml version="1.0" encoding="utf-8"?>
<sst xmlns="http://schemas.openxmlformats.org/spreadsheetml/2006/main" count="292" uniqueCount="113">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</sst>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6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</xdr:row>
      <xdr:rowOff>152399</xdr:rowOff>
    </xdr:from>
    <xdr:to>
      <xdr:col>15</xdr:col>
      <xdr:colOff>609600</xdr:colOff>
      <xdr:row>5</xdr:row>
      <xdr:rowOff>152399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849350" y="342899"/>
          <a:ext cx="159067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95251</xdr:colOff>
      <xdr:row>1</xdr:row>
      <xdr:rowOff>114300</xdr:rowOff>
    </xdr:from>
    <xdr:to>
      <xdr:col>15</xdr:col>
      <xdr:colOff>611662</xdr:colOff>
      <xdr:row>5</xdr:row>
      <xdr:rowOff>173625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6" y="3048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" workbookViewId="0">
      <selection activeCell="E91" sqref="E9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111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2025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81599590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1900000</v>
      </c>
      <c r="F22" s="8"/>
    </row>
    <row r="23" spans="3:6" x14ac:dyDescent="0.25">
      <c r="C23" s="5" t="s">
        <v>12</v>
      </c>
      <c r="D23" s="6">
        <v>23404000</v>
      </c>
      <c r="E23" s="6">
        <v>23156225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4720000</v>
      </c>
    </row>
    <row r="26" spans="3:6" x14ac:dyDescent="0.25">
      <c r="C26" s="5" t="s">
        <v>15</v>
      </c>
      <c r="D26" s="6">
        <v>1635000</v>
      </c>
      <c r="E26" s="6">
        <v>2505775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632000</v>
      </c>
    </row>
    <row r="30" spans="3:6" x14ac:dyDescent="0.25">
      <c r="C30" s="5" t="s">
        <v>19</v>
      </c>
      <c r="D30" s="6">
        <v>125000</v>
      </c>
      <c r="E30" s="6">
        <v>309500</v>
      </c>
    </row>
    <row r="31" spans="3:6" x14ac:dyDescent="0.25">
      <c r="C31" s="5" t="s">
        <v>20</v>
      </c>
      <c r="D31" s="6">
        <v>475000</v>
      </c>
      <c r="E31" s="6">
        <v>255000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305500</v>
      </c>
    </row>
    <row r="34" spans="3:5" x14ac:dyDescent="0.25">
      <c r="C34" s="5" t="s">
        <v>23</v>
      </c>
      <c r="D34" s="6">
        <v>305002</v>
      </c>
      <c r="E34" s="6">
        <v>363002</v>
      </c>
    </row>
    <row r="35" spans="3:5" x14ac:dyDescent="0.25">
      <c r="C35" s="5" t="s">
        <v>24</v>
      </c>
      <c r="D35" s="6">
        <v>11100000</v>
      </c>
      <c r="E35" s="6">
        <v>11307000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975687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913000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47000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314399277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1"/>
  <sheetViews>
    <sheetView showGridLines="0" tabSelected="1" workbookViewId="0">
      <selection activeCell="E19" sqref="E19"/>
    </sheetView>
  </sheetViews>
  <sheetFormatPr defaultColWidth="11.42578125" defaultRowHeight="15" x14ac:dyDescent="0.25"/>
  <cols>
    <col min="1" max="1" width="63.28515625" customWidth="1"/>
    <col min="2" max="2" width="17" customWidth="1"/>
    <col min="3" max="3" width="15.140625" customWidth="1"/>
    <col min="4" max="5" width="13" customWidth="1"/>
    <col min="6" max="6" width="12.5703125" customWidth="1"/>
    <col min="7" max="7" width="12.42578125" customWidth="1"/>
    <col min="8" max="8" width="13.140625" customWidth="1"/>
    <col min="9" max="9" width="12.85546875" customWidth="1"/>
    <col min="10" max="10" width="6" customWidth="1"/>
    <col min="11" max="11" width="6.42578125" customWidth="1"/>
    <col min="12" max="12" width="6.7109375" customWidth="1"/>
    <col min="13" max="13" width="8.28515625" customWidth="1"/>
    <col min="14" max="14" width="7.85546875" customWidth="1"/>
    <col min="15" max="15" width="8.42578125" customWidth="1"/>
    <col min="16" max="16" width="14.5703125" customWidth="1"/>
  </cols>
  <sheetData>
    <row r="1" spans="1:17" ht="4.5" customHeight="1" x14ac:dyDescent="0.25"/>
    <row r="2" spans="1:17" s="56" customFormat="1" ht="28.5" customHeight="1" x14ac:dyDescent="0.35">
      <c r="A2" s="54" t="s">
        <v>111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7" ht="21" customHeight="1" x14ac:dyDescent="0.25">
      <c r="A3" s="52" t="s">
        <v>99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12" customHeight="1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17.2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idden="1" x14ac:dyDescent="0.25"/>
    <row r="8" spans="1:17" ht="25.5" customHeight="1" x14ac:dyDescent="0.25">
      <c r="A8" s="42" t="s">
        <v>66</v>
      </c>
      <c r="B8" s="43" t="s">
        <v>94</v>
      </c>
      <c r="C8" s="43" t="s">
        <v>93</v>
      </c>
      <c r="D8" s="47" t="s">
        <v>91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7" x14ac:dyDescent="0.25">
      <c r="A9" s="42"/>
      <c r="B9" s="44"/>
      <c r="C9" s="44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217601998</v>
      </c>
      <c r="C11" s="25">
        <f>C12+C13+C16</f>
        <v>217601998</v>
      </c>
      <c r="D11" s="25">
        <f t="shared" ref="D11:O11" si="0">D12+D13+D16</f>
        <v>14442586.75</v>
      </c>
      <c r="E11" s="25">
        <f t="shared" si="0"/>
        <v>14350642.969999999</v>
      </c>
      <c r="F11" s="25">
        <f t="shared" si="0"/>
        <v>16190801.01</v>
      </c>
      <c r="G11" s="25">
        <f t="shared" si="0"/>
        <v>27027152.419999998</v>
      </c>
      <c r="H11" s="25">
        <f t="shared" si="0"/>
        <v>14161002.27</v>
      </c>
      <c r="I11" s="25">
        <f t="shared" si="0"/>
        <v>14633628.659999998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SUM(D11:O11)</f>
        <v>100805814.07999998</v>
      </c>
    </row>
    <row r="12" spans="1:17" x14ac:dyDescent="0.25">
      <c r="A12" s="5" t="s">
        <v>2</v>
      </c>
      <c r="B12" s="24">
        <v>166834000</v>
      </c>
      <c r="C12" s="24">
        <v>166834000</v>
      </c>
      <c r="D12" s="24">
        <f>12263814.61+22000</f>
        <v>12285814.609999999</v>
      </c>
      <c r="E12" s="24">
        <f>12196731.28+9333.33</f>
        <v>12206064.609999999</v>
      </c>
      <c r="F12" s="24">
        <v>14036483.119999999</v>
      </c>
      <c r="G12" s="24">
        <v>24873991.829999998</v>
      </c>
      <c r="H12" s="24">
        <f>11968631.28+20000+29072.45</f>
        <v>12017703.729999999</v>
      </c>
      <c r="I12" s="24">
        <f>12006464.61+20000+18515+439840.79</f>
        <v>12484820.399999999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87904878.299999982</v>
      </c>
    </row>
    <row r="13" spans="1:17" x14ac:dyDescent="0.25">
      <c r="A13" s="5" t="s">
        <v>3</v>
      </c>
      <c r="B13" s="24">
        <v>28302000</v>
      </c>
      <c r="C13" s="24">
        <v>28302000</v>
      </c>
      <c r="D13" s="24">
        <v>309500</v>
      </c>
      <c r="E13" s="24">
        <v>309500</v>
      </c>
      <c r="F13" s="24">
        <v>333500</v>
      </c>
      <c r="G13" s="24">
        <v>333500</v>
      </c>
      <c r="H13" s="24">
        <v>333500</v>
      </c>
      <c r="I13" s="24">
        <v>333500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1953000</v>
      </c>
    </row>
    <row r="14" spans="1:17" x14ac:dyDescent="0.25">
      <c r="A14" s="5" t="s">
        <v>4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f t="shared" ref="P14:P15" si="1">SUM(D14:O14)</f>
        <v>0</v>
      </c>
      <c r="Q14" s="17"/>
    </row>
    <row r="15" spans="1:17" x14ac:dyDescent="0.25">
      <c r="A15" s="5" t="s">
        <v>5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 t="shared" si="1"/>
        <v>0</v>
      </c>
    </row>
    <row r="16" spans="1:17" x14ac:dyDescent="0.25">
      <c r="A16" s="5" t="s">
        <v>6</v>
      </c>
      <c r="B16" s="24">
        <v>22465998</v>
      </c>
      <c r="C16" s="24">
        <v>22465998</v>
      </c>
      <c r="D16" s="24">
        <f>864160.42+872292.83+110818.89</f>
        <v>1847272.14</v>
      </c>
      <c r="E16" s="24">
        <f>858506.14+866630.58+109941.64</f>
        <v>1835078.3599999999</v>
      </c>
      <c r="F16" s="24">
        <v>1820817.89</v>
      </c>
      <c r="G16" s="24">
        <f>851146+855772.31+112742.28</f>
        <v>1819660.59</v>
      </c>
      <c r="H16" s="24">
        <f>846572.95+851192.81+112032.78</f>
        <v>1809798.54</v>
      </c>
      <c r="I16" s="24">
        <f>849255.33+853878.98+112173.95</f>
        <v>1815308.26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ref="P16:P26" si="2">SUM(D16:O16)</f>
        <v>10947935.779999999</v>
      </c>
    </row>
    <row r="17" spans="1:16" x14ac:dyDescent="0.25">
      <c r="A17" s="3" t="s">
        <v>7</v>
      </c>
      <c r="B17" s="25">
        <f t="shared" ref="B17:G17" si="3">B18+B19+B20+B21+B22+B23+B24+B25+B26</f>
        <v>78896590</v>
      </c>
      <c r="C17" s="25">
        <f t="shared" si="3"/>
        <v>81599590</v>
      </c>
      <c r="D17" s="25">
        <f t="shared" si="3"/>
        <v>4013686.89</v>
      </c>
      <c r="E17" s="25">
        <f t="shared" si="3"/>
        <v>4564432.68</v>
      </c>
      <c r="F17" s="25">
        <f t="shared" si="3"/>
        <v>4875188.9699999988</v>
      </c>
      <c r="G17" s="25">
        <f t="shared" si="3"/>
        <v>4934694.6399999997</v>
      </c>
      <c r="H17" s="25">
        <f>H18+H19+H20+H21+H22+H23+H24+H25+H26</f>
        <v>4598395.13</v>
      </c>
      <c r="I17" s="25">
        <f>I18+I19+I20+I21+I22+I23+I24+I25+I26</f>
        <v>11084094.189999999</v>
      </c>
      <c r="J17" s="25">
        <f>J18+J19+J20+J21+J22+J23+J24+J25+J26</f>
        <v>0</v>
      </c>
      <c r="K17" s="25">
        <f>K18+K19+K20+K21+K22+K23+K24+K25+K26</f>
        <v>0</v>
      </c>
      <c r="L17" s="25">
        <f>L18+L19+L20+L21+L22+L23+L24+L25+L26</f>
        <v>0</v>
      </c>
      <c r="M17" s="25">
        <f t="shared" ref="M17" si="4">M18+M19+M20+M21+M22+M23+M24+M25</f>
        <v>0</v>
      </c>
      <c r="N17" s="25">
        <f>N18+N19+N20+N21+N22+N23+N24+N25+N26</f>
        <v>0</v>
      </c>
      <c r="O17" s="25">
        <f>O18+O19+O20+O21+O22+O23+O24+O25+O26</f>
        <v>0</v>
      </c>
      <c r="P17" s="25">
        <f t="shared" si="2"/>
        <v>34070492.5</v>
      </c>
    </row>
    <row r="18" spans="1:16" x14ac:dyDescent="0.25">
      <c r="A18" s="5" t="s">
        <v>8</v>
      </c>
      <c r="B18" s="24">
        <v>27452090</v>
      </c>
      <c r="C18" s="24">
        <v>27452090</v>
      </c>
      <c r="D18" s="24">
        <f>815947.89+253249.86+1011994.48+617383.3</f>
        <v>2698575.5300000003</v>
      </c>
      <c r="E18" s="24">
        <f>447933.82+404945.9+1665584.79+571326.66+27615+12329</f>
        <v>3129735.17</v>
      </c>
      <c r="F18" s="24">
        <v>2282632.04</v>
      </c>
      <c r="G18" s="24">
        <f>464494.54+191075.86+914219.55+572706.61+7541+2177</f>
        <v>2152214.56</v>
      </c>
      <c r="H18" s="24">
        <f>453154.61+191322.35+919243.32+558269.96+10270+2780</f>
        <v>2135040.2399999998</v>
      </c>
      <c r="I18" s="24">
        <f>477888.97+197435.31+923194+576243.55+4183+1610</f>
        <v>2180554.83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2"/>
        <v>14578752.370000001</v>
      </c>
    </row>
    <row r="19" spans="1:16" x14ac:dyDescent="0.25">
      <c r="A19" s="5" t="s">
        <v>9</v>
      </c>
      <c r="B19" s="24">
        <v>215000</v>
      </c>
      <c r="C19" s="24">
        <v>215000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1500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2"/>
        <v>1500</v>
      </c>
    </row>
    <row r="20" spans="1:16" x14ac:dyDescent="0.25">
      <c r="A20" s="5" t="s">
        <v>10</v>
      </c>
      <c r="B20" s="24">
        <v>3700000</v>
      </c>
      <c r="C20" s="24">
        <v>3700000</v>
      </c>
      <c r="D20" s="24">
        <v>0</v>
      </c>
      <c r="E20" s="24">
        <v>119000</v>
      </c>
      <c r="F20" s="24">
        <v>85400</v>
      </c>
      <c r="G20" s="24">
        <v>167517.5</v>
      </c>
      <c r="H20" s="24">
        <v>76450</v>
      </c>
      <c r="I20" s="24">
        <v>93880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2"/>
        <v>542247.5</v>
      </c>
    </row>
    <row r="21" spans="1:16" x14ac:dyDescent="0.25">
      <c r="A21" s="5" t="s">
        <v>11</v>
      </c>
      <c r="B21" s="24">
        <v>1720000</v>
      </c>
      <c r="C21" s="24">
        <v>1900000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2"/>
        <v>0</v>
      </c>
    </row>
    <row r="22" spans="1:16" x14ac:dyDescent="0.25">
      <c r="A22" s="5" t="s">
        <v>12</v>
      </c>
      <c r="B22" s="24">
        <v>23404000</v>
      </c>
      <c r="C22" s="24">
        <v>23156225</v>
      </c>
      <c r="D22" s="24">
        <v>0</v>
      </c>
      <c r="E22" s="24">
        <v>84488</v>
      </c>
      <c r="F22" s="24">
        <v>355001.48</v>
      </c>
      <c r="G22" s="24">
        <v>147139.93</v>
      </c>
      <c r="H22" s="24">
        <f>81184+141787.8</f>
        <v>222971.8</v>
      </c>
      <c r="I22" s="24">
        <f>6849049.33+81184</f>
        <v>6930233.3300000001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2"/>
        <v>7739834.54</v>
      </c>
    </row>
    <row r="23" spans="1:16" x14ac:dyDescent="0.25">
      <c r="A23" s="5" t="s">
        <v>13</v>
      </c>
      <c r="B23" s="24">
        <v>14670500</v>
      </c>
      <c r="C23" s="24">
        <v>14670500</v>
      </c>
      <c r="D23" s="24">
        <v>1194917.68</v>
      </c>
      <c r="E23" s="24">
        <v>880511.45</v>
      </c>
      <c r="F23" s="24">
        <v>1565479</v>
      </c>
      <c r="G23" s="24">
        <f>326888.77+1198709.99</f>
        <v>1525598.76</v>
      </c>
      <c r="H23" s="24">
        <f>293205.46+1363636.29</f>
        <v>1656841.75</v>
      </c>
      <c r="I23" s="24">
        <v>1464175.53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2"/>
        <v>8287524.1699999999</v>
      </c>
    </row>
    <row r="24" spans="1:16" ht="30" x14ac:dyDescent="0.25">
      <c r="A24" s="29" t="s">
        <v>14</v>
      </c>
      <c r="B24" s="24">
        <v>2820000</v>
      </c>
      <c r="C24" s="24">
        <v>4720000</v>
      </c>
      <c r="D24" s="24">
        <v>42244</v>
      </c>
      <c r="E24" s="24">
        <v>86199</v>
      </c>
      <c r="F24" s="24">
        <v>449532.8</v>
      </c>
      <c r="G24" s="24">
        <v>566400</v>
      </c>
      <c r="H24" s="24">
        <v>7620.8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2"/>
        <v>1151996.6000000001</v>
      </c>
    </row>
    <row r="25" spans="1:16" x14ac:dyDescent="0.25">
      <c r="A25" s="5" t="s">
        <v>15</v>
      </c>
      <c r="B25" s="24">
        <v>1635000</v>
      </c>
      <c r="C25" s="24">
        <v>2505775</v>
      </c>
      <c r="D25" s="24">
        <v>0</v>
      </c>
      <c r="E25" s="24">
        <f>5100.05+33000+19116</f>
        <v>57216.05</v>
      </c>
      <c r="F25" s="24">
        <v>17700.009999999998</v>
      </c>
      <c r="G25" s="24">
        <f>525+9300.09+16500+23895+4599.42</f>
        <v>54819.509999999995</v>
      </c>
      <c r="H25" s="24">
        <f>160000+19116</f>
        <v>179116</v>
      </c>
      <c r="I25" s="24">
        <v>80425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2"/>
        <v>389276.57</v>
      </c>
    </row>
    <row r="26" spans="1:16" x14ac:dyDescent="0.25">
      <c r="A26" s="5" t="s">
        <v>16</v>
      </c>
      <c r="B26" s="24">
        <v>3280000</v>
      </c>
      <c r="C26" s="24">
        <v>3280000</v>
      </c>
      <c r="D26" s="24">
        <v>77949.679999999993</v>
      </c>
      <c r="E26" s="24">
        <v>207283.01</v>
      </c>
      <c r="F26" s="24">
        <v>119443.64</v>
      </c>
      <c r="G26" s="24">
        <v>321004.38</v>
      </c>
      <c r="H26" s="24">
        <v>320354.53999999998</v>
      </c>
      <c r="I26" s="24">
        <f>93102+240223.5</f>
        <v>333325.5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2"/>
        <v>1379360.75</v>
      </c>
    </row>
    <row r="27" spans="1:16" x14ac:dyDescent="0.25">
      <c r="A27" s="3" t="s">
        <v>17</v>
      </c>
      <c r="B27" s="25">
        <f>B28+B29+B30+B31+B32+B33+B34+B36</f>
        <v>14150689</v>
      </c>
      <c r="C27" s="25">
        <f>C28+C29+C30+C31+C32+C33+C34+C36</f>
        <v>14147689</v>
      </c>
      <c r="D27" s="25">
        <f t="shared" ref="D27:P27" si="5">D28+D29+D30+D31+D32+D33+D34+D36</f>
        <v>725140</v>
      </c>
      <c r="E27" s="25">
        <f t="shared" si="5"/>
        <v>735220</v>
      </c>
      <c r="F27" s="25">
        <f t="shared" si="5"/>
        <v>1203322.1499999999</v>
      </c>
      <c r="G27" s="25">
        <f t="shared" si="5"/>
        <v>559729.84000000008</v>
      </c>
      <c r="H27" s="25">
        <f t="shared" si="5"/>
        <v>959125.32999999984</v>
      </c>
      <c r="I27" s="25">
        <f t="shared" si="5"/>
        <v>1660734.6199999999</v>
      </c>
      <c r="J27" s="25">
        <f t="shared" si="5"/>
        <v>0</v>
      </c>
      <c r="K27" s="25">
        <f t="shared" si="5"/>
        <v>0</v>
      </c>
      <c r="L27" s="25">
        <f t="shared" si="5"/>
        <v>0</v>
      </c>
      <c r="M27" s="25">
        <f t="shared" si="5"/>
        <v>0</v>
      </c>
      <c r="N27" s="25">
        <f t="shared" si="5"/>
        <v>0</v>
      </c>
      <c r="O27" s="25">
        <f t="shared" si="5"/>
        <v>0</v>
      </c>
      <c r="P27" s="25">
        <f t="shared" si="5"/>
        <v>5843271.9400000004</v>
      </c>
    </row>
    <row r="28" spans="1:16" x14ac:dyDescent="0.25">
      <c r="A28" s="5" t="s">
        <v>18</v>
      </c>
      <c r="B28" s="24">
        <v>665000</v>
      </c>
      <c r="C28" s="24">
        <v>632000</v>
      </c>
      <c r="D28" s="24">
        <v>2640</v>
      </c>
      <c r="E28" s="24">
        <v>12720</v>
      </c>
      <c r="F28" s="24">
        <v>31770.05</v>
      </c>
      <c r="G28" s="24">
        <v>20384.5</v>
      </c>
      <c r="H28" s="24">
        <v>18369.990000000002</v>
      </c>
      <c r="I28" s="24">
        <v>193898.2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ref="P28:P35" si="6">SUM(D28:O28)</f>
        <v>279782.74</v>
      </c>
    </row>
    <row r="29" spans="1:16" x14ac:dyDescent="0.25">
      <c r="A29" s="5" t="s">
        <v>19</v>
      </c>
      <c r="B29" s="24">
        <v>125000</v>
      </c>
      <c r="C29" s="24">
        <v>309500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6"/>
        <v>0</v>
      </c>
    </row>
    <row r="30" spans="1:16" x14ac:dyDescent="0.25">
      <c r="A30" s="5" t="s">
        <v>20</v>
      </c>
      <c r="B30" s="24">
        <v>475000</v>
      </c>
      <c r="C30" s="24">
        <v>255000</v>
      </c>
      <c r="D30" s="24">
        <v>0</v>
      </c>
      <c r="E30" s="24">
        <v>0</v>
      </c>
      <c r="F30" s="24">
        <v>31246.400000000001</v>
      </c>
      <c r="G30" s="24">
        <v>0</v>
      </c>
      <c r="H30" s="24">
        <v>19352</v>
      </c>
      <c r="I30" s="24">
        <v>52038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6"/>
        <v>102636.4</v>
      </c>
    </row>
    <row r="31" spans="1:16" x14ac:dyDescent="0.25">
      <c r="A31" s="5" t="s">
        <v>21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6"/>
        <v>0</v>
      </c>
    </row>
    <row r="32" spans="1:16" x14ac:dyDescent="0.25">
      <c r="A32" s="5" t="s">
        <v>22</v>
      </c>
      <c r="B32" s="24">
        <v>300000</v>
      </c>
      <c r="C32" s="24">
        <v>305500</v>
      </c>
      <c r="D32" s="24">
        <v>0</v>
      </c>
      <c r="E32" s="24">
        <v>0</v>
      </c>
      <c r="F32" s="24">
        <v>0</v>
      </c>
      <c r="G32" s="24">
        <v>0</v>
      </c>
      <c r="H32" s="24">
        <v>7168.5</v>
      </c>
      <c r="I32" s="24">
        <v>140618.23999999999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6"/>
        <v>147786.74</v>
      </c>
    </row>
    <row r="33" spans="1:16" x14ac:dyDescent="0.25">
      <c r="A33" s="5" t="s">
        <v>23</v>
      </c>
      <c r="B33" s="24">
        <v>305002</v>
      </c>
      <c r="C33" s="24">
        <v>363002</v>
      </c>
      <c r="D33" s="24">
        <v>0</v>
      </c>
      <c r="E33" s="24">
        <v>0</v>
      </c>
      <c r="F33" s="24">
        <v>3223.43</v>
      </c>
      <c r="G33" s="24">
        <v>324.97000000000003</v>
      </c>
      <c r="H33" s="24">
        <f>1761.47+2643.82</f>
        <v>4405.29</v>
      </c>
      <c r="I33" s="24">
        <f>2884.75+6200.05+217.5+2000.95</f>
        <v>11303.25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6"/>
        <v>19256.939999999999</v>
      </c>
    </row>
    <row r="34" spans="1:16" x14ac:dyDescent="0.25">
      <c r="A34" s="5" t="s">
        <v>24</v>
      </c>
      <c r="B34" s="24">
        <v>11100000</v>
      </c>
      <c r="C34" s="24">
        <v>11307000</v>
      </c>
      <c r="D34" s="24">
        <v>722500</v>
      </c>
      <c r="E34" s="24">
        <v>722500</v>
      </c>
      <c r="F34" s="24">
        <v>1015500</v>
      </c>
      <c r="G34" s="24">
        <v>516862.32</v>
      </c>
      <c r="H34" s="24">
        <f>505000+50548.6+115907.57+2468.44</f>
        <v>673924.60999999987</v>
      </c>
      <c r="I34" s="24">
        <f>789500+99999.22+10431.2+99550.11+16494.71</f>
        <v>1015975.2399999999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6"/>
        <v>4667262.17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6"/>
        <v>0</v>
      </c>
    </row>
    <row r="36" spans="1:16" x14ac:dyDescent="0.25">
      <c r="A36" s="5" t="s">
        <v>26</v>
      </c>
      <c r="B36" s="24">
        <v>1180687</v>
      </c>
      <c r="C36" s="24">
        <v>975687</v>
      </c>
      <c r="D36" s="24">
        <v>0</v>
      </c>
      <c r="E36" s="24">
        <v>0</v>
      </c>
      <c r="F36" s="24">
        <v>121582.27</v>
      </c>
      <c r="G36" s="24">
        <f>11876.94+6062.46+4218.65</f>
        <v>22158.050000000003</v>
      </c>
      <c r="H36" s="24">
        <f>47039.23+90737.28+26000.24+58481.84+12398.5+1247.85</f>
        <v>235904.94</v>
      </c>
      <c r="I36" s="24">
        <f>45492.66+2891.61+74365.37+30343.62+16150.06+1400.9+76257.47</f>
        <v>246901.69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626546.94999999995</v>
      </c>
    </row>
    <row r="37" spans="1:16" x14ac:dyDescent="0.25">
      <c r="A37" s="3" t="s">
        <v>27</v>
      </c>
      <c r="B37" s="25">
        <f>B38</f>
        <v>50000</v>
      </c>
      <c r="C37" s="25">
        <f>C38</f>
        <v>50000</v>
      </c>
      <c r="D37" s="25">
        <f t="shared" ref="D37:P37" si="7">D38</f>
        <v>0</v>
      </c>
      <c r="E37" s="25">
        <f t="shared" si="7"/>
        <v>0</v>
      </c>
      <c r="F37" s="25">
        <f t="shared" si="7"/>
        <v>24000</v>
      </c>
      <c r="G37" s="25">
        <f t="shared" si="7"/>
        <v>0</v>
      </c>
      <c r="H37" s="25">
        <f t="shared" si="7"/>
        <v>0</v>
      </c>
      <c r="I37" s="25">
        <f t="shared" si="7"/>
        <v>0</v>
      </c>
      <c r="J37" s="25">
        <f t="shared" si="7"/>
        <v>0</v>
      </c>
      <c r="K37" s="25">
        <f t="shared" si="7"/>
        <v>0</v>
      </c>
      <c r="L37" s="25">
        <f t="shared" si="7"/>
        <v>0</v>
      </c>
      <c r="M37" s="25">
        <f t="shared" si="7"/>
        <v>0</v>
      </c>
      <c r="N37" s="25">
        <f t="shared" si="7"/>
        <v>0</v>
      </c>
      <c r="O37" s="25">
        <f t="shared" si="7"/>
        <v>0</v>
      </c>
      <c r="P37" s="25">
        <f t="shared" si="7"/>
        <v>24000</v>
      </c>
    </row>
    <row r="38" spans="1:16" x14ac:dyDescent="0.25">
      <c r="A38" s="29" t="s">
        <v>28</v>
      </c>
      <c r="B38" s="24">
        <v>50000</v>
      </c>
      <c r="C38" s="24">
        <v>50000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5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x14ac:dyDescent="0.25">
      <c r="A48" s="5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29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5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43</v>
      </c>
      <c r="B53" s="25">
        <f>B54+B57+B58</f>
        <v>1000000</v>
      </c>
      <c r="C53" s="25">
        <f>C54+C57+C58+C55+C61</f>
        <v>1000000</v>
      </c>
      <c r="D53" s="25">
        <f>D54+D57+D58</f>
        <v>0</v>
      </c>
      <c r="E53" s="25">
        <f>E54+E57+E58</f>
        <v>0</v>
      </c>
      <c r="F53" s="25">
        <f>F54+F57+F58+F61</f>
        <v>842496.34</v>
      </c>
      <c r="G53" s="25">
        <f>G54+G57+G58</f>
        <v>0</v>
      </c>
      <c r="H53" s="25">
        <f>H55+H54</f>
        <v>24721</v>
      </c>
      <c r="I53" s="25">
        <f t="shared" ref="I53:M53" si="8">I54+I57+I58</f>
        <v>78242.290000000008</v>
      </c>
      <c r="J53" s="25">
        <f t="shared" si="8"/>
        <v>0</v>
      </c>
      <c r="K53" s="25">
        <f t="shared" si="8"/>
        <v>0</v>
      </c>
      <c r="L53" s="25">
        <f>L54+L57+L58+L55</f>
        <v>0</v>
      </c>
      <c r="M53" s="25">
        <f t="shared" si="8"/>
        <v>0</v>
      </c>
      <c r="N53" s="25">
        <f>N54+N57+N58+N55+N61</f>
        <v>0</v>
      </c>
      <c r="O53" s="25">
        <f>O54+O57+O58+O55</f>
        <v>0</v>
      </c>
      <c r="P53" s="25">
        <f>SUM(D53:O53)</f>
        <v>945459.63</v>
      </c>
    </row>
    <row r="54" spans="1:16" x14ac:dyDescent="0.25">
      <c r="A54" s="5" t="s">
        <v>44</v>
      </c>
      <c r="B54" s="24">
        <v>650000</v>
      </c>
      <c r="C54" s="24">
        <v>913000</v>
      </c>
      <c r="D54" s="24">
        <v>0</v>
      </c>
      <c r="E54" s="24">
        <v>0</v>
      </c>
      <c r="F54" s="24">
        <v>802496.34</v>
      </c>
      <c r="G54" s="24">
        <v>0</v>
      </c>
      <c r="H54" s="24">
        <v>24721</v>
      </c>
      <c r="I54" s="24">
        <v>76934.3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904151.64</v>
      </c>
    </row>
    <row r="55" spans="1:16" x14ac:dyDescent="0.25">
      <c r="A55" s="5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x14ac:dyDescent="0.25">
      <c r="A56" s="5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8" si="9">SUM(D56:O56)</f>
        <v>0</v>
      </c>
    </row>
    <row r="57" spans="1:16" x14ac:dyDescent="0.25">
      <c r="A57" s="5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9"/>
        <v>0</v>
      </c>
    </row>
    <row r="58" spans="1:16" x14ac:dyDescent="0.25">
      <c r="A58" s="5" t="s">
        <v>48</v>
      </c>
      <c r="B58" s="24">
        <v>350000</v>
      </c>
      <c r="C58" s="24">
        <v>47000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1307.99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9"/>
        <v>1307.99</v>
      </c>
    </row>
    <row r="59" spans="1:16" x14ac:dyDescent="0.25">
      <c r="A59" s="5" t="s">
        <v>49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51</v>
      </c>
      <c r="B61" s="24">
        <v>0</v>
      </c>
      <c r="C61" s="24">
        <v>40000</v>
      </c>
      <c r="D61" s="24">
        <v>0</v>
      </c>
      <c r="E61" s="24">
        <v>0</v>
      </c>
      <c r="F61" s="24">
        <v>40000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f>SUM(D61:O61)</f>
        <v>40000</v>
      </c>
    </row>
    <row r="62" spans="1:16" x14ac:dyDescent="0.25">
      <c r="A62" s="5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5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3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5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5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5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5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25.5" customHeight="1" x14ac:dyDescent="0.25">
      <c r="A74" s="29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5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5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ht="18.75" customHeight="1" x14ac:dyDescent="0.25">
      <c r="A84" s="9" t="s">
        <v>65</v>
      </c>
      <c r="B84" s="28">
        <f>B53+B37+B27+B17+B11</f>
        <v>311699277</v>
      </c>
      <c r="C84" s="28">
        <f>C53+C37+C27+C17+C11</f>
        <v>314399277</v>
      </c>
      <c r="D84" s="28">
        <f t="shared" ref="D84:P84" si="10">D53+D37+D27+D17+D11</f>
        <v>19181413.640000001</v>
      </c>
      <c r="E84" s="28">
        <f t="shared" si="10"/>
        <v>19650295.649999999</v>
      </c>
      <c r="F84" s="28">
        <f t="shared" si="10"/>
        <v>23135808.469999999</v>
      </c>
      <c r="G84" s="28">
        <f t="shared" si="10"/>
        <v>32521576.899999999</v>
      </c>
      <c r="H84" s="28">
        <f t="shared" si="10"/>
        <v>19743243.73</v>
      </c>
      <c r="I84" s="28">
        <f t="shared" si="10"/>
        <v>27456699.759999998</v>
      </c>
      <c r="J84" s="28">
        <f t="shared" si="10"/>
        <v>0</v>
      </c>
      <c r="K84" s="28">
        <f t="shared" si="10"/>
        <v>0</v>
      </c>
      <c r="L84" s="28">
        <f t="shared" si="10"/>
        <v>0</v>
      </c>
      <c r="M84" s="28">
        <f t="shared" si="10"/>
        <v>0</v>
      </c>
      <c r="N84" s="28">
        <f t="shared" si="10"/>
        <v>0</v>
      </c>
      <c r="O84" s="28">
        <f t="shared" si="10"/>
        <v>0</v>
      </c>
      <c r="P84" s="28">
        <f t="shared" si="10"/>
        <v>141689038.14999998</v>
      </c>
    </row>
    <row r="85" spans="1:16" ht="14.25" customHeight="1" x14ac:dyDescent="0.25"/>
    <row r="86" spans="1:16" s="58" customFormat="1" ht="15.75" x14ac:dyDescent="0.25">
      <c r="A86" s="60"/>
      <c r="B86" s="60" t="s">
        <v>101</v>
      </c>
      <c r="F86" s="60" t="s">
        <v>102</v>
      </c>
      <c r="H86" s="57"/>
      <c r="J86" s="61"/>
    </row>
    <row r="87" spans="1:16" ht="33.75" customHeight="1" x14ac:dyDescent="0.3">
      <c r="A87" s="34"/>
      <c r="B87" s="34" t="s">
        <v>103</v>
      </c>
      <c r="C87" s="32"/>
      <c r="D87" s="30"/>
      <c r="E87" s="30"/>
      <c r="F87" s="34" t="s">
        <v>103</v>
      </c>
      <c r="H87" s="34"/>
      <c r="I87" s="30"/>
      <c r="J87" s="30"/>
      <c r="K87" s="30"/>
    </row>
    <row r="88" spans="1:16" s="58" customFormat="1" ht="15.75" x14ac:dyDescent="0.25">
      <c r="A88" s="57"/>
      <c r="B88" s="57" t="s">
        <v>104</v>
      </c>
      <c r="C88" s="57"/>
      <c r="F88" s="57" t="s">
        <v>105</v>
      </c>
      <c r="G88" s="59" t="s">
        <v>107</v>
      </c>
      <c r="H88" s="59"/>
      <c r="I88" s="59"/>
      <c r="J88" s="59"/>
    </row>
    <row r="89" spans="1:16" s="58" customFormat="1" ht="15.75" x14ac:dyDescent="0.25">
      <c r="A89" s="60"/>
      <c r="B89" s="60" t="s">
        <v>106</v>
      </c>
      <c r="C89" s="60"/>
      <c r="F89" s="60" t="s">
        <v>108</v>
      </c>
      <c r="H89" s="60"/>
    </row>
    <row r="90" spans="1:16" ht="18.75" x14ac:dyDescent="0.3">
      <c r="D90" s="30"/>
      <c r="E90" s="30"/>
      <c r="F90" s="30"/>
      <c r="H90" s="30"/>
      <c r="I90" s="30"/>
      <c r="J90" s="30"/>
      <c r="K90" s="30"/>
    </row>
    <row r="91" spans="1:16" ht="18.75" x14ac:dyDescent="0.25">
      <c r="B91" s="32"/>
    </row>
  </sheetData>
  <mergeCells count="10">
    <mergeCell ref="G88:J88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11811023622047245" right="0.11811023622047245" top="0.59055118110236227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12" zoomScaleNormal="100" workbookViewId="0">
      <selection activeCell="G84" sqref="G84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100805814.07999998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87904878.299999997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1953000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10947935.779999999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11084094.189999999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34070492.5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14578752.369999999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1500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542247.5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7739834.54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8287524.1699999999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1151996.6000000001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80425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389276.57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333325.5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1379360.75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5843271.9400000004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279782.74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102636.4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147786.74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19256.940000000002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4667262.17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626546.94999999995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945459.63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904151.64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1307.99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27456699.760000002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141689038.14999998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2025-07-07T13:35:36Z</cp:lastPrinted>
  <dcterms:created xsi:type="dcterms:W3CDTF">2021-07-29T18:58:50Z</dcterms:created>
  <dcterms:modified xsi:type="dcterms:W3CDTF">2025-07-07T13:39:09Z</dcterms:modified>
</cp:coreProperties>
</file>