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8_{095A1C10-7A8D-462D-A1FB-A29BE6A0026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'!$1:$8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1" i="2" l="1"/>
  <c r="C81" i="2"/>
  <c r="D81" i="2"/>
  <c r="H33" i="2"/>
  <c r="H31" i="2"/>
  <c r="H30" i="2"/>
  <c r="H19" i="2"/>
  <c r="H22" i="2"/>
  <c r="H20" i="2"/>
  <c r="H15" i="2"/>
  <c r="H11" i="2"/>
  <c r="H13" i="2"/>
  <c r="E16" i="3"/>
  <c r="E21" i="3"/>
  <c r="H14" i="2" l="1"/>
  <c r="G33" i="2"/>
  <c r="G22" i="2"/>
  <c r="G20" i="2"/>
  <c r="G15" i="2"/>
  <c r="G13" i="2"/>
  <c r="C22" i="2" l="1"/>
  <c r="E26" i="1"/>
  <c r="P58" i="2" l="1"/>
  <c r="F50" i="2"/>
  <c r="D52" i="3"/>
  <c r="D83" i="3" s="1"/>
  <c r="D24" i="3"/>
  <c r="E52" i="3"/>
  <c r="D26" i="3"/>
  <c r="C26" i="3"/>
  <c r="D35" i="3"/>
  <c r="D33" i="3"/>
  <c r="D32" i="3"/>
  <c r="D23" i="3"/>
  <c r="D21" i="3"/>
  <c r="D17" i="3"/>
  <c r="D15" i="3"/>
  <c r="D11" i="3"/>
  <c r="E22" i="2"/>
  <c r="E15" i="2" l="1"/>
  <c r="E13" i="2"/>
  <c r="E11" i="2"/>
  <c r="D15" i="2"/>
  <c r="D11" i="2"/>
  <c r="D13" i="2"/>
  <c r="E54" i="1"/>
  <c r="L16" i="3" l="1"/>
  <c r="L52" i="3"/>
  <c r="N55" i="3"/>
  <c r="N61" i="3"/>
  <c r="N60" i="3"/>
  <c r="N59" i="3"/>
  <c r="N58" i="3"/>
  <c r="N50" i="2"/>
  <c r="N14" i="2"/>
  <c r="J52" i="3"/>
  <c r="J26" i="3"/>
  <c r="J16" i="3"/>
  <c r="L50" i="2"/>
  <c r="L14" i="2"/>
  <c r="C50" i="2"/>
  <c r="G16" i="3"/>
  <c r="G52" i="3"/>
  <c r="I14" i="2"/>
  <c r="G26" i="3" l="1"/>
  <c r="F26" i="3"/>
  <c r="F52" i="3"/>
  <c r="F16" i="3"/>
  <c r="H50" i="2"/>
  <c r="P35" i="2"/>
  <c r="E26" i="3"/>
  <c r="G14" i="2" l="1"/>
  <c r="E14" i="2"/>
  <c r="E18" i="1" l="1"/>
  <c r="F14" i="2"/>
  <c r="N37" i="3" l="1"/>
  <c r="D16" i="3"/>
  <c r="B16" i="3" l="1"/>
  <c r="B10" i="2"/>
  <c r="D14" i="2"/>
  <c r="C16" i="3"/>
  <c r="D28" i="1"/>
  <c r="D12" i="1"/>
  <c r="M16" i="3"/>
  <c r="M26" i="3"/>
  <c r="M52" i="3"/>
  <c r="O14" i="2"/>
  <c r="K26" i="3"/>
  <c r="P32" i="2"/>
  <c r="P55" i="2"/>
  <c r="P54" i="2"/>
  <c r="P53" i="2"/>
  <c r="H16" i="3" l="1"/>
  <c r="H52" i="3"/>
  <c r="H26" i="3"/>
  <c r="J14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K52" i="3"/>
  <c r="C52" i="3"/>
  <c r="B52" i="3"/>
  <c r="B26" i="3"/>
  <c r="B14" i="2"/>
  <c r="D18" i="1" l="1"/>
  <c r="M10" i="3"/>
  <c r="O50" i="2"/>
  <c r="C34" i="2"/>
  <c r="C14" i="2"/>
  <c r="N54" i="3"/>
  <c r="L26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I52" i="3"/>
  <c r="N53" i="3"/>
  <c r="N25" i="3"/>
  <c r="K16" i="3"/>
  <c r="N24" i="3"/>
  <c r="N23" i="3"/>
  <c r="N22" i="3"/>
  <c r="N21" i="3"/>
  <c r="N20" i="3"/>
  <c r="N19" i="3"/>
  <c r="N18" i="3"/>
  <c r="N17" i="3"/>
  <c r="J10" i="3"/>
  <c r="J83" i="3" s="1"/>
  <c r="H10" i="3"/>
  <c r="H83" i="3" s="1"/>
  <c r="G10" i="3"/>
  <c r="G83" i="3" s="1"/>
  <c r="F10" i="3"/>
  <c r="F83" i="3" s="1"/>
  <c r="E10" i="3"/>
  <c r="D10" i="3"/>
  <c r="C10" i="3"/>
  <c r="B10" i="3"/>
  <c r="N11" i="3"/>
  <c r="P52" i="2"/>
  <c r="P51" i="2"/>
  <c r="M50" i="2"/>
  <c r="K50" i="2"/>
  <c r="J50" i="2"/>
  <c r="I50" i="2"/>
  <c r="P27" i="2"/>
  <c r="P33" i="2"/>
  <c r="P31" i="2"/>
  <c r="P30" i="2"/>
  <c r="P29" i="2"/>
  <c r="P28" i="2"/>
  <c r="P26" i="2"/>
  <c r="P25" i="2"/>
  <c r="P23" i="2"/>
  <c r="P21" i="2"/>
  <c r="P18" i="2"/>
  <c r="P17" i="2"/>
  <c r="P16" i="2"/>
  <c r="K14" i="2"/>
  <c r="P22" i="2"/>
  <c r="P20" i="2"/>
  <c r="P19" i="2"/>
  <c r="P15" i="2"/>
  <c r="P13" i="2"/>
  <c r="P12" i="2"/>
  <c r="P11" i="2"/>
  <c r="G50" i="2"/>
  <c r="E50" i="2"/>
  <c r="D50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O24" i="2"/>
  <c r="N24" i="2"/>
  <c r="M24" i="2"/>
  <c r="L24" i="2"/>
  <c r="K24" i="2"/>
  <c r="J24" i="2"/>
  <c r="I24" i="2"/>
  <c r="H24" i="2"/>
  <c r="G24" i="2"/>
  <c r="F24" i="2"/>
  <c r="E24" i="2"/>
  <c r="D24" i="2"/>
  <c r="M14" i="2"/>
  <c r="O10" i="2"/>
  <c r="N10" i="2"/>
  <c r="M10" i="2"/>
  <c r="L10" i="2"/>
  <c r="K10" i="2"/>
  <c r="J10" i="2"/>
  <c r="I10" i="2"/>
  <c r="H10" i="2"/>
  <c r="G10" i="2"/>
  <c r="F10" i="2"/>
  <c r="E10" i="2"/>
  <c r="D10" i="2"/>
  <c r="B50" i="2"/>
  <c r="B34" i="2"/>
  <c r="C24" i="2"/>
  <c r="B24" i="2"/>
  <c r="C10" i="2"/>
  <c r="P10" i="2" l="1"/>
  <c r="K83" i="3"/>
  <c r="E83" i="3"/>
  <c r="C83" i="3"/>
  <c r="B83" i="3"/>
  <c r="M83" i="3"/>
  <c r="L83" i="3"/>
  <c r="P50" i="2"/>
  <c r="I83" i="3"/>
  <c r="N26" i="3"/>
  <c r="N10" i="3"/>
  <c r="N16" i="3"/>
  <c r="N52" i="3"/>
  <c r="P24" i="2"/>
  <c r="F81" i="2"/>
  <c r="G81" i="2"/>
  <c r="P14" i="2"/>
  <c r="O81" i="2"/>
  <c r="I81" i="2"/>
  <c r="M81" i="2"/>
  <c r="N81" i="2"/>
  <c r="H81" i="2"/>
  <c r="L81" i="2"/>
  <c r="K81" i="2"/>
  <c r="J81" i="2"/>
  <c r="E81" i="2"/>
  <c r="D54" i="1"/>
  <c r="E38" i="1"/>
  <c r="D38" i="1"/>
  <c r="E28" i="1"/>
  <c r="E12" i="1"/>
  <c r="E85" i="1" l="1"/>
  <c r="N83" i="3"/>
  <c r="D85" i="1"/>
  <c r="P81" i="2"/>
</calcChain>
</file>

<file path=xl/sharedStrings.xml><?xml version="1.0" encoding="utf-8"?>
<sst xmlns="http://schemas.openxmlformats.org/spreadsheetml/2006/main" count="290" uniqueCount="117">
  <si>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</si>
  <si>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</si>
  <si>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</si>
  <si>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</si>
  <si>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</si>
  <si>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</si>
  <si>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</si>
  <si>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</si>
  <si>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</si>
  <si>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</si>
  <si>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</si>
  <si>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</si>
  <si>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</si>
  <si>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</si>
  <si>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</si>
  <si>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</si>
  <si>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</si>
  <si>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</si>
  <si>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</si>
  <si>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</si>
  <si>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</si>
  <si>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</si>
  <si>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</si>
  <si>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</si>
  <si>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</si>
  <si>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</si>
  <si>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</si>
  <si>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</si>
  <si>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</si>
  <si>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</si>
  <si>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</si>
  <si>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</si>
  <si>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</si>
  <si>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</si>
  <si>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</si>
  <si>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</si>
  <si>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</si>
  <si>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</si>
  <si>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</si>
  <si>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</si>
  <si>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</si>
  <si>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</si>
  <si>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</si>
  <si>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</si>
  <si>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</si>
  <si>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</si>
  <si>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</si>
  <si>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</si>
  <si>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</si>
  <si>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</si>
  <si>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</si>
  <si>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</si>
  <si>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</si>
  <si>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</si>
  <si>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</si>
  <si>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</si>
  <si>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</si>
  <si>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</si>
  <si>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</si>
  <si>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</si>
  <si>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</si>
  <si>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</si>
  <si>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</si>
  <si>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</si>
  <si>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</si>
  <si>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</si>
  <si>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</si>
  <si>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</si>
  <si>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</si>
  <si>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</si>
  <si>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</si>
  <si>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</si>
  <si>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</si>
  <si>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</si>
  <si>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</si>
  <si>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</si>
  <si>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</si>
  <si>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</si>
  <si>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</si>
  <si>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</si>
  <si>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</si>
  <si>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</si>
  <si>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</si>
  <si>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</si>
  <si>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</si>
  <si>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</si>
  <si>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</si>
  <si>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</si>
  <si>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</si>
  <si>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</si>
  <si>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</si>
  <si>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</si>
  <si>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</si>
  <si>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</si>
  <si>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</si>
  <si>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</si>
  <si>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</si>
  <si>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</si>
  <si>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</si>
  <si>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</si>
  <si>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</si>
  <si>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</si>
  <si>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</si>
  <si>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</si>
  <si>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</si>
  <si>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</si>
  <si>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</si>
  <si>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>Humberto Méndez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</si>
  <si>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</si>
  <si>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</si>
  <si>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</si>
  <si>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</si>
  <si>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RD$0</t>
  </si>
  <si>
    <t>Sept</t>
  </si>
  <si>
    <t>Oct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</si>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</sst>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b/>
      <i/>
      <sz val="11"/>
      <color theme="0"/>
      <name val="Gotham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left" wrapText="1" indent="1"/>
    </xf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0</xdr:row>
      <xdr:rowOff>152400</xdr:rowOff>
    </xdr:from>
    <xdr:to>
      <xdr:col>15</xdr:col>
      <xdr:colOff>609600</xdr:colOff>
      <xdr:row>6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3325475" y="152400"/>
          <a:ext cx="1685925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12</xdr:col>
      <xdr:colOff>361951</xdr:colOff>
      <xdr:row>0</xdr:row>
      <xdr:rowOff>142875</xdr:rowOff>
    </xdr:from>
    <xdr:to>
      <xdr:col>15</xdr:col>
      <xdr:colOff>583087</xdr:colOff>
      <xdr:row>4</xdr:row>
      <xdr:rowOff>154575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6" y="14287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workbookViewId="0">
      <selection activeCell="C95" sqref="C95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9" t="s">
        <v>111</v>
      </c>
      <c r="D3" s="39"/>
      <c r="E3" s="3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9" t="s">
        <v>98</v>
      </c>
      <c r="D4" s="39"/>
      <c r="E4" s="3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5">
        <v>2025</v>
      </c>
      <c r="D5" s="46"/>
      <c r="E5" s="4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0" t="s">
        <v>76</v>
      </c>
      <c r="D6" s="41"/>
      <c r="E6" s="41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0" t="s">
        <v>77</v>
      </c>
      <c r="D7" s="41"/>
      <c r="E7" s="41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2" t="s">
        <v>66</v>
      </c>
      <c r="D9" s="43" t="s">
        <v>94</v>
      </c>
      <c r="E9" s="43" t="s">
        <v>93</v>
      </c>
      <c r="F9" s="8"/>
    </row>
    <row r="10" spans="2:16" ht="23.25" customHeight="1" x14ac:dyDescent="0.25">
      <c r="C10" s="42"/>
      <c r="D10" s="44"/>
      <c r="E10" s="44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217601998</v>
      </c>
      <c r="E12" s="4">
        <f>E13+E14+E17</f>
        <v>217601998</v>
      </c>
      <c r="F12" s="8"/>
    </row>
    <row r="13" spans="2:16" x14ac:dyDescent="0.25">
      <c r="C13" s="5" t="s">
        <v>2</v>
      </c>
      <c r="D13" s="6">
        <v>166834000</v>
      </c>
      <c r="E13" s="6">
        <v>166834000</v>
      </c>
      <c r="F13" s="8"/>
    </row>
    <row r="14" spans="2:16" x14ac:dyDescent="0.25">
      <c r="C14" s="5" t="s">
        <v>3</v>
      </c>
      <c r="D14" s="6">
        <v>28302000</v>
      </c>
      <c r="E14" s="6">
        <v>28302000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22465998</v>
      </c>
      <c r="E17" s="6">
        <v>22465998</v>
      </c>
      <c r="F17" s="8"/>
    </row>
    <row r="18" spans="3:6" x14ac:dyDescent="0.25">
      <c r="C18" s="3" t="s">
        <v>7</v>
      </c>
      <c r="D18" s="4">
        <f>D19+D20+D21+D22+D23+D24+D25+D26+D27</f>
        <v>78896590</v>
      </c>
      <c r="E18" s="4">
        <f>E19+E20+E21+E22+E23+E24+E25+E26+E27</f>
        <v>81599590</v>
      </c>
      <c r="F18" s="8"/>
    </row>
    <row r="19" spans="3:6" x14ac:dyDescent="0.25">
      <c r="C19" s="5" t="s">
        <v>8</v>
      </c>
      <c r="D19" s="6">
        <v>27452090</v>
      </c>
      <c r="E19" s="6">
        <v>27452090</v>
      </c>
      <c r="F19" s="8"/>
    </row>
    <row r="20" spans="3:6" x14ac:dyDescent="0.25">
      <c r="C20" s="5" t="s">
        <v>9</v>
      </c>
      <c r="D20" s="6">
        <v>215000</v>
      </c>
      <c r="E20" s="6">
        <v>215000</v>
      </c>
      <c r="F20" s="8"/>
    </row>
    <row r="21" spans="3:6" x14ac:dyDescent="0.25">
      <c r="C21" s="5" t="s">
        <v>10</v>
      </c>
      <c r="D21" s="6">
        <v>3700000</v>
      </c>
      <c r="E21" s="6">
        <v>3700000</v>
      </c>
      <c r="F21" s="8"/>
    </row>
    <row r="22" spans="3:6" x14ac:dyDescent="0.25">
      <c r="C22" s="5" t="s">
        <v>11</v>
      </c>
      <c r="D22" s="6">
        <v>1720000</v>
      </c>
      <c r="E22" s="6">
        <v>1900000</v>
      </c>
      <c r="F22" s="8"/>
    </row>
    <row r="23" spans="3:6" x14ac:dyDescent="0.25">
      <c r="C23" s="5" t="s">
        <v>12</v>
      </c>
      <c r="D23" s="6">
        <v>23404000</v>
      </c>
      <c r="E23" s="6">
        <v>23156225</v>
      </c>
    </row>
    <row r="24" spans="3:6" x14ac:dyDescent="0.25">
      <c r="C24" s="5" t="s">
        <v>13</v>
      </c>
      <c r="D24" s="6">
        <v>14670500</v>
      </c>
      <c r="E24" s="6">
        <v>14670500</v>
      </c>
    </row>
    <row r="25" spans="3:6" x14ac:dyDescent="0.25">
      <c r="C25" s="5" t="s">
        <v>14</v>
      </c>
      <c r="D25" s="6">
        <v>2820000</v>
      </c>
      <c r="E25" s="6">
        <v>3120000</v>
      </c>
    </row>
    <row r="26" spans="3:6" x14ac:dyDescent="0.25">
      <c r="C26" s="5" t="s">
        <v>15</v>
      </c>
      <c r="D26" s="6">
        <v>1635000</v>
      </c>
      <c r="E26" s="6">
        <f>1405775+2700000</f>
        <v>4105775</v>
      </c>
    </row>
    <row r="27" spans="3:6" x14ac:dyDescent="0.25">
      <c r="C27" s="5" t="s">
        <v>16</v>
      </c>
      <c r="D27" s="6">
        <v>3280000</v>
      </c>
      <c r="E27" s="6">
        <v>3280000</v>
      </c>
    </row>
    <row r="28" spans="3:6" x14ac:dyDescent="0.25">
      <c r="C28" s="3" t="s">
        <v>17</v>
      </c>
      <c r="D28" s="4">
        <f>D29+D30+D31+D32+D33+D34+D35+D37</f>
        <v>14150689</v>
      </c>
      <c r="E28" s="4">
        <f>E29+E30+E31+E32+E33+E34+E35+E37</f>
        <v>14147689</v>
      </c>
    </row>
    <row r="29" spans="3:6" x14ac:dyDescent="0.25">
      <c r="C29" s="5" t="s">
        <v>18</v>
      </c>
      <c r="D29" s="6">
        <v>665000</v>
      </c>
      <c r="E29" s="6">
        <v>662000</v>
      </c>
    </row>
    <row r="30" spans="3:6" x14ac:dyDescent="0.25">
      <c r="C30" s="5" t="s">
        <v>19</v>
      </c>
      <c r="D30" s="6">
        <v>125000</v>
      </c>
      <c r="E30" s="6">
        <v>319500</v>
      </c>
    </row>
    <row r="31" spans="3:6" x14ac:dyDescent="0.25">
      <c r="C31" s="5" t="s">
        <v>20</v>
      </c>
      <c r="D31" s="6">
        <v>475000</v>
      </c>
      <c r="E31" s="6">
        <v>315000</v>
      </c>
    </row>
    <row r="32" spans="3:6" x14ac:dyDescent="0.25">
      <c r="C32" s="5" t="s">
        <v>21</v>
      </c>
      <c r="D32" s="6">
        <v>0</v>
      </c>
      <c r="E32" s="6">
        <v>0</v>
      </c>
    </row>
    <row r="33" spans="3:5" x14ac:dyDescent="0.25">
      <c r="C33" s="5" t="s">
        <v>22</v>
      </c>
      <c r="D33" s="6">
        <v>300000</v>
      </c>
      <c r="E33" s="6">
        <v>305500</v>
      </c>
    </row>
    <row r="34" spans="3:5" x14ac:dyDescent="0.25">
      <c r="C34" s="5" t="s">
        <v>23</v>
      </c>
      <c r="D34" s="6">
        <v>305002</v>
      </c>
      <c r="E34" s="6">
        <v>265002</v>
      </c>
    </row>
    <row r="35" spans="3:5" x14ac:dyDescent="0.25">
      <c r="C35" s="5" t="s">
        <v>24</v>
      </c>
      <c r="D35" s="6">
        <v>11100000</v>
      </c>
      <c r="E35" s="6">
        <v>11207000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1180687</v>
      </c>
      <c r="E37" s="6">
        <v>1073687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1000000</v>
      </c>
      <c r="E54" s="4">
        <f>E55+E58+E59+E56+E62</f>
        <v>1000000</v>
      </c>
    </row>
    <row r="55" spans="3:5" x14ac:dyDescent="0.25">
      <c r="C55" s="5" t="s">
        <v>44</v>
      </c>
      <c r="D55" s="6">
        <v>650000</v>
      </c>
      <c r="E55" s="6">
        <v>913000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350000</v>
      </c>
      <c r="E59" s="6">
        <v>47000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40000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311699277</v>
      </c>
      <c r="E85" s="23">
        <f>E54+E38+E28+E18+E12</f>
        <v>314399277</v>
      </c>
    </row>
    <row r="87" spans="3:5" hidden="1" x14ac:dyDescent="0.25"/>
    <row r="88" spans="3:5" hidden="1" x14ac:dyDescent="0.25"/>
    <row r="89" spans="3:5" hidden="1" x14ac:dyDescent="0.25"/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0"/>
  <sheetViews>
    <sheetView showGridLines="0" tabSelected="1" workbookViewId="0">
      <selection activeCell="C27" sqref="C27"/>
    </sheetView>
  </sheetViews>
  <sheetFormatPr defaultColWidth="11.42578125" defaultRowHeight="15" x14ac:dyDescent="0.25"/>
  <cols>
    <col min="1" max="1" width="53.5703125" customWidth="1"/>
    <col min="2" max="2" width="16.140625" customWidth="1"/>
    <col min="3" max="3" width="15.42578125" customWidth="1"/>
    <col min="4" max="4" width="13.140625" customWidth="1"/>
    <col min="5" max="5" width="15.140625" customWidth="1"/>
    <col min="6" max="7" width="13.28515625" customWidth="1"/>
    <col min="8" max="8" width="13.7109375" customWidth="1"/>
    <col min="9" max="9" width="6.42578125" customWidth="1"/>
    <col min="10" max="10" width="7" customWidth="1"/>
    <col min="11" max="11" width="7.7109375" customWidth="1"/>
    <col min="12" max="12" width="7.140625" customWidth="1"/>
    <col min="13" max="13" width="6.5703125" customWidth="1"/>
    <col min="14" max="14" width="7.42578125" customWidth="1"/>
    <col min="15" max="15" width="6.7109375" customWidth="1"/>
    <col min="16" max="16" width="14.28515625" customWidth="1"/>
  </cols>
  <sheetData>
    <row r="1" spans="1:16" ht="28.5" customHeight="1" x14ac:dyDescent="0.25">
      <c r="A1" s="55" t="s">
        <v>111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21" customHeight="1" x14ac:dyDescent="0.25">
      <c r="A2" s="40" t="s">
        <v>99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15.75" x14ac:dyDescent="0.25">
      <c r="A3" s="45">
        <v>2025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.75" customHeight="1" x14ac:dyDescent="0.25">
      <c r="A4" s="40" t="s">
        <v>92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15.75" customHeight="1" x14ac:dyDescent="0.25">
      <c r="A5" s="41" t="s">
        <v>77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2.25" customHeight="1" x14ac:dyDescent="0.25"/>
    <row r="7" spans="1:16" ht="25.5" customHeight="1" x14ac:dyDescent="0.25">
      <c r="A7" s="42" t="s">
        <v>66</v>
      </c>
      <c r="B7" s="43" t="s">
        <v>94</v>
      </c>
      <c r="C7" s="43" t="s">
        <v>93</v>
      </c>
      <c r="D7" s="48" t="s">
        <v>91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50"/>
    </row>
    <row r="8" spans="1:16" x14ac:dyDescent="0.25">
      <c r="A8" s="42"/>
      <c r="B8" s="44"/>
      <c r="C8" s="44"/>
      <c r="D8" s="15" t="s">
        <v>79</v>
      </c>
      <c r="E8" s="15" t="s">
        <v>80</v>
      </c>
      <c r="F8" s="15" t="s">
        <v>81</v>
      </c>
      <c r="G8" s="15" t="s">
        <v>82</v>
      </c>
      <c r="H8" s="16" t="s">
        <v>83</v>
      </c>
      <c r="I8" s="15" t="s">
        <v>84</v>
      </c>
      <c r="J8" s="16" t="s">
        <v>85</v>
      </c>
      <c r="K8" s="15" t="s">
        <v>86</v>
      </c>
      <c r="L8" s="15" t="s">
        <v>113</v>
      </c>
      <c r="M8" s="15" t="s">
        <v>114</v>
      </c>
      <c r="N8" s="15" t="s">
        <v>115</v>
      </c>
      <c r="O8" s="16" t="s">
        <v>116</v>
      </c>
      <c r="P8" s="15" t="s">
        <v>78</v>
      </c>
    </row>
    <row r="9" spans="1:16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30" x14ac:dyDescent="0.25">
      <c r="A10" s="57" t="s">
        <v>1</v>
      </c>
      <c r="B10" s="25">
        <f>B11+B12+B13</f>
        <v>217601998</v>
      </c>
      <c r="C10" s="25">
        <f>C11+C12+C13</f>
        <v>217601998</v>
      </c>
      <c r="D10" s="25">
        <f>D11+D12+D13</f>
        <v>14442586.75</v>
      </c>
      <c r="E10" s="25">
        <f>E11+E12+E13</f>
        <v>14350642.969999999</v>
      </c>
      <c r="F10" s="25">
        <f>F11+F12+F13</f>
        <v>16190801.01</v>
      </c>
      <c r="G10" s="25">
        <f>G11+G12+G13</f>
        <v>27027152.419999998</v>
      </c>
      <c r="H10" s="25">
        <f>H11+H12+H13</f>
        <v>14161002.27</v>
      </c>
      <c r="I10" s="25">
        <f>I11+I12+I13</f>
        <v>0</v>
      </c>
      <c r="J10" s="25">
        <f>J11+J12+J13</f>
        <v>0</v>
      </c>
      <c r="K10" s="25">
        <f>K11+K12+K13</f>
        <v>0</v>
      </c>
      <c r="L10" s="25">
        <f>L11+L12+L13</f>
        <v>0</v>
      </c>
      <c r="M10" s="25">
        <f>M11+M12+M13</f>
        <v>0</v>
      </c>
      <c r="N10" s="25">
        <f>N11+N12+N13</f>
        <v>0</v>
      </c>
      <c r="O10" s="25">
        <f>O11+O12+O13</f>
        <v>0</v>
      </c>
      <c r="P10" s="25">
        <f>SUM(D10:O10)</f>
        <v>86172185.419999987</v>
      </c>
    </row>
    <row r="11" spans="1:16" x14ac:dyDescent="0.25">
      <c r="A11" s="5" t="s">
        <v>2</v>
      </c>
      <c r="B11" s="24">
        <v>166834000</v>
      </c>
      <c r="C11" s="24">
        <v>166834000</v>
      </c>
      <c r="D11" s="24">
        <f>12263814.61+22000</f>
        <v>12285814.609999999</v>
      </c>
      <c r="E11" s="24">
        <f>12196731.28+9333.33</f>
        <v>12206064.609999999</v>
      </c>
      <c r="F11" s="24">
        <v>14036483.119999999</v>
      </c>
      <c r="G11" s="24">
        <v>24873991.829999998</v>
      </c>
      <c r="H11" s="24">
        <f>11968631.28+20000+29072.45</f>
        <v>12017703.729999999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f>SUM(D11:O11)</f>
        <v>75420057.899999991</v>
      </c>
    </row>
    <row r="12" spans="1:16" x14ac:dyDescent="0.25">
      <c r="A12" s="5" t="s">
        <v>3</v>
      </c>
      <c r="B12" s="24">
        <v>28302000</v>
      </c>
      <c r="C12" s="24">
        <v>28302000</v>
      </c>
      <c r="D12" s="24">
        <v>309500</v>
      </c>
      <c r="E12" s="24">
        <v>309500</v>
      </c>
      <c r="F12" s="24">
        <v>333500</v>
      </c>
      <c r="G12" s="24">
        <v>333500</v>
      </c>
      <c r="H12" s="24">
        <v>333500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f>SUM(D12:O12)</f>
        <v>1619500</v>
      </c>
    </row>
    <row r="13" spans="1:16" ht="15" customHeight="1" x14ac:dyDescent="0.25">
      <c r="A13" s="29" t="s">
        <v>6</v>
      </c>
      <c r="B13" s="24">
        <v>22465998</v>
      </c>
      <c r="C13" s="24">
        <v>22465998</v>
      </c>
      <c r="D13" s="24">
        <f>864160.42+872292.83+110818.89</f>
        <v>1847272.14</v>
      </c>
      <c r="E13" s="24">
        <f>858506.14+866630.58+109941.64</f>
        <v>1835078.3599999999</v>
      </c>
      <c r="F13" s="24">
        <v>1820817.89</v>
      </c>
      <c r="G13" s="24">
        <f>851146+855772.31+112742.28</f>
        <v>1819660.59</v>
      </c>
      <c r="H13" s="24">
        <f>846572.95+851192.81+112032.78</f>
        <v>1809798.54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f t="shared" ref="P13:P23" si="0">SUM(D13:O13)</f>
        <v>9132627.5199999996</v>
      </c>
    </row>
    <row r="14" spans="1:16" x14ac:dyDescent="0.25">
      <c r="A14" s="3" t="s">
        <v>7</v>
      </c>
      <c r="B14" s="25">
        <f t="shared" ref="B14:G14" si="1">B15+B16+B17+B18+B19+B20+B21+B22+B23</f>
        <v>78896590</v>
      </c>
      <c r="C14" s="25">
        <f t="shared" si="1"/>
        <v>81599590</v>
      </c>
      <c r="D14" s="25">
        <f t="shared" si="1"/>
        <v>4013686.89</v>
      </c>
      <c r="E14" s="25">
        <f t="shared" si="1"/>
        <v>4564432.68</v>
      </c>
      <c r="F14" s="25">
        <f t="shared" si="1"/>
        <v>4875188.9699999988</v>
      </c>
      <c r="G14" s="25">
        <f t="shared" si="1"/>
        <v>4934694.6399999997</v>
      </c>
      <c r="H14" s="25">
        <f>H15+H16+H17+H18+H19+H20+H21+H22+H23</f>
        <v>4598395.13</v>
      </c>
      <c r="I14" s="25">
        <f>I15+I16+I17+I18+I19+I20+I21+I22+I23</f>
        <v>0</v>
      </c>
      <c r="J14" s="25">
        <f>J15+J16+J17+J18+J19+J20+J21+J22+J23</f>
        <v>0</v>
      </c>
      <c r="K14" s="25">
        <f>K15+K16+K17+K18+K19+K20+K21+K22+K23</f>
        <v>0</v>
      </c>
      <c r="L14" s="25">
        <f>L15+L16+L17+L18+L19+L20+L21+L22+L23</f>
        <v>0</v>
      </c>
      <c r="M14" s="25">
        <f t="shared" ref="M14" si="2">M15+M16+M17+M18+M19+M20+M21+M22</f>
        <v>0</v>
      </c>
      <c r="N14" s="25">
        <f>N15+N16+N17+N18+N19+N20+N21+N22+N23</f>
        <v>0</v>
      </c>
      <c r="O14" s="25">
        <f>O15+O16+O17+O18+O19+O20+O21+O22+O23</f>
        <v>0</v>
      </c>
      <c r="P14" s="25">
        <f t="shared" si="0"/>
        <v>22986398.309999999</v>
      </c>
    </row>
    <row r="15" spans="1:16" x14ac:dyDescent="0.25">
      <c r="A15" s="5" t="s">
        <v>8</v>
      </c>
      <c r="B15" s="24">
        <v>27452090</v>
      </c>
      <c r="C15" s="24">
        <v>27452090</v>
      </c>
      <c r="D15" s="24">
        <f>815947.89+253249.86+1011994.48+617383.3</f>
        <v>2698575.5300000003</v>
      </c>
      <c r="E15" s="24">
        <f>447933.82+404945.9+1665584.79+571326.66+27615+12329</f>
        <v>3129735.17</v>
      </c>
      <c r="F15" s="24">
        <v>2282632.04</v>
      </c>
      <c r="G15" s="24">
        <f>464494.54+191075.86+914219.55+572706.61+7541+2177</f>
        <v>2152214.56</v>
      </c>
      <c r="H15" s="24">
        <f>453154.61+191322.35+919243.32+558269.96+10270+2780</f>
        <v>2135040.2399999998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f t="shared" si="0"/>
        <v>12398197.540000001</v>
      </c>
    </row>
    <row r="16" spans="1:16" x14ac:dyDescent="0.25">
      <c r="A16" s="5" t="s">
        <v>9</v>
      </c>
      <c r="B16" s="24">
        <v>215000</v>
      </c>
      <c r="C16" s="24">
        <v>215000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f t="shared" si="0"/>
        <v>0</v>
      </c>
    </row>
    <row r="17" spans="1:16" x14ac:dyDescent="0.25">
      <c r="A17" s="5" t="s">
        <v>10</v>
      </c>
      <c r="B17" s="24">
        <v>3700000</v>
      </c>
      <c r="C17" s="24">
        <v>3700000</v>
      </c>
      <c r="D17" s="24">
        <v>0</v>
      </c>
      <c r="E17" s="24">
        <v>119000</v>
      </c>
      <c r="F17" s="24">
        <v>85400</v>
      </c>
      <c r="G17" s="24">
        <v>167517.5</v>
      </c>
      <c r="H17" s="24">
        <v>76450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f t="shared" si="0"/>
        <v>448367.5</v>
      </c>
    </row>
    <row r="18" spans="1:16" x14ac:dyDescent="0.25">
      <c r="A18" s="5" t="s">
        <v>11</v>
      </c>
      <c r="B18" s="24">
        <v>1720000</v>
      </c>
      <c r="C18" s="24">
        <v>1900000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f t="shared" si="0"/>
        <v>0</v>
      </c>
    </row>
    <row r="19" spans="1:16" x14ac:dyDescent="0.25">
      <c r="A19" s="5" t="s">
        <v>12</v>
      </c>
      <c r="B19" s="24">
        <v>23404000</v>
      </c>
      <c r="C19" s="24">
        <v>23156225</v>
      </c>
      <c r="D19" s="24">
        <v>0</v>
      </c>
      <c r="E19" s="24">
        <v>84488</v>
      </c>
      <c r="F19" s="24">
        <v>355001.48</v>
      </c>
      <c r="G19" s="24">
        <v>147139.93</v>
      </c>
      <c r="H19" s="24">
        <f>81184+141787.8</f>
        <v>222971.8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f t="shared" si="0"/>
        <v>809601.21</v>
      </c>
    </row>
    <row r="20" spans="1:16" x14ac:dyDescent="0.25">
      <c r="A20" s="5" t="s">
        <v>13</v>
      </c>
      <c r="B20" s="24">
        <v>14670500</v>
      </c>
      <c r="C20" s="24">
        <v>14670500</v>
      </c>
      <c r="D20" s="24">
        <v>1194917.68</v>
      </c>
      <c r="E20" s="24">
        <v>880511.45</v>
      </c>
      <c r="F20" s="24">
        <v>1565479</v>
      </c>
      <c r="G20" s="24">
        <f>326888.77+1198709.99</f>
        <v>1525598.76</v>
      </c>
      <c r="H20" s="24">
        <f>293205.46+1363636.29</f>
        <v>1656841.75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f t="shared" si="0"/>
        <v>6823348.6399999997</v>
      </c>
    </row>
    <row r="21" spans="1:16" ht="30" x14ac:dyDescent="0.25">
      <c r="A21" s="29" t="s">
        <v>14</v>
      </c>
      <c r="B21" s="24">
        <v>2820000</v>
      </c>
      <c r="C21" s="24">
        <v>3120000</v>
      </c>
      <c r="D21" s="24">
        <v>42244</v>
      </c>
      <c r="E21" s="24">
        <v>86199</v>
      </c>
      <c r="F21" s="24">
        <v>449532.8</v>
      </c>
      <c r="G21" s="24">
        <v>566400</v>
      </c>
      <c r="H21" s="24">
        <v>7620.8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f t="shared" si="0"/>
        <v>1151996.6000000001</v>
      </c>
    </row>
    <row r="22" spans="1:16" ht="30" x14ac:dyDescent="0.25">
      <c r="A22" s="29" t="s">
        <v>15</v>
      </c>
      <c r="B22" s="24">
        <v>1635000</v>
      </c>
      <c r="C22" s="24">
        <f>1405775+2700000</f>
        <v>4105775</v>
      </c>
      <c r="D22" s="24">
        <v>0</v>
      </c>
      <c r="E22" s="24">
        <f>5100.05+33000+19116</f>
        <v>57216.05</v>
      </c>
      <c r="F22" s="24">
        <v>17700.009999999998</v>
      </c>
      <c r="G22" s="24">
        <f>525+9300.09+16500+23895+4599.42</f>
        <v>54819.509999999995</v>
      </c>
      <c r="H22" s="24">
        <f>160000+19116</f>
        <v>179116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f t="shared" si="0"/>
        <v>308851.57</v>
      </c>
    </row>
    <row r="23" spans="1:16" x14ac:dyDescent="0.25">
      <c r="A23" s="5" t="s">
        <v>16</v>
      </c>
      <c r="B23" s="24">
        <v>3280000</v>
      </c>
      <c r="C23" s="24">
        <v>3280000</v>
      </c>
      <c r="D23" s="24">
        <v>77949.679999999993</v>
      </c>
      <c r="E23" s="24">
        <v>207283.01</v>
      </c>
      <c r="F23" s="24">
        <v>119443.64</v>
      </c>
      <c r="G23" s="24">
        <v>321004.38</v>
      </c>
      <c r="H23" s="24">
        <v>320354.53999999998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f t="shared" si="0"/>
        <v>1046035.25</v>
      </c>
    </row>
    <row r="24" spans="1:16" x14ac:dyDescent="0.25">
      <c r="A24" s="3" t="s">
        <v>17</v>
      </c>
      <c r="B24" s="25">
        <f>B25+B26+B27+B28+B29+B30+B31+B33</f>
        <v>14150689</v>
      </c>
      <c r="C24" s="25">
        <f>C25+C26+C27+C28+C29+C30+C31+C33</f>
        <v>14147689</v>
      </c>
      <c r="D24" s="25">
        <f t="shared" ref="D24:P24" si="3">D25+D26+D27+D28+D29+D30+D31+D33</f>
        <v>725140</v>
      </c>
      <c r="E24" s="25">
        <f t="shared" si="3"/>
        <v>735220</v>
      </c>
      <c r="F24" s="25">
        <f t="shared" si="3"/>
        <v>1203322.1499999999</v>
      </c>
      <c r="G24" s="25">
        <f t="shared" si="3"/>
        <v>559729.84000000008</v>
      </c>
      <c r="H24" s="25">
        <f t="shared" si="3"/>
        <v>959125.32999999984</v>
      </c>
      <c r="I24" s="25">
        <f t="shared" si="3"/>
        <v>0</v>
      </c>
      <c r="J24" s="25">
        <f t="shared" si="3"/>
        <v>0</v>
      </c>
      <c r="K24" s="25">
        <f t="shared" si="3"/>
        <v>0</v>
      </c>
      <c r="L24" s="25">
        <f t="shared" si="3"/>
        <v>0</v>
      </c>
      <c r="M24" s="25">
        <f t="shared" si="3"/>
        <v>0</v>
      </c>
      <c r="N24" s="25">
        <f t="shared" si="3"/>
        <v>0</v>
      </c>
      <c r="O24" s="25">
        <f t="shared" si="3"/>
        <v>0</v>
      </c>
      <c r="P24" s="25">
        <f t="shared" si="3"/>
        <v>4182537.3199999994</v>
      </c>
    </row>
    <row r="25" spans="1:16" x14ac:dyDescent="0.25">
      <c r="A25" s="29" t="s">
        <v>18</v>
      </c>
      <c r="B25" s="24">
        <v>665000</v>
      </c>
      <c r="C25" s="24">
        <v>662000</v>
      </c>
      <c r="D25" s="24">
        <v>2640</v>
      </c>
      <c r="E25" s="24">
        <v>12720</v>
      </c>
      <c r="F25" s="24">
        <v>31770.05</v>
      </c>
      <c r="G25" s="24">
        <v>20384.5</v>
      </c>
      <c r="H25" s="24">
        <v>18369.990000000002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f t="shared" ref="P25:P32" si="4">SUM(D25:O25)</f>
        <v>85884.540000000008</v>
      </c>
    </row>
    <row r="26" spans="1:16" x14ac:dyDescent="0.25">
      <c r="A26" s="29" t="s">
        <v>19</v>
      </c>
      <c r="B26" s="24">
        <v>125000</v>
      </c>
      <c r="C26" s="24">
        <v>319500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f t="shared" si="4"/>
        <v>0</v>
      </c>
    </row>
    <row r="27" spans="1:16" x14ac:dyDescent="0.25">
      <c r="A27" s="29" t="s">
        <v>20</v>
      </c>
      <c r="B27" s="24">
        <v>475000</v>
      </c>
      <c r="C27" s="24">
        <v>315000</v>
      </c>
      <c r="D27" s="24">
        <v>0</v>
      </c>
      <c r="E27" s="24">
        <v>0</v>
      </c>
      <c r="F27" s="24">
        <v>31246.400000000001</v>
      </c>
      <c r="G27" s="24">
        <v>0</v>
      </c>
      <c r="H27" s="24">
        <v>19352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f t="shared" si="4"/>
        <v>50598.400000000001</v>
      </c>
    </row>
    <row r="28" spans="1:16" x14ac:dyDescent="0.25">
      <c r="A28" s="29" t="s">
        <v>21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f t="shared" si="4"/>
        <v>0</v>
      </c>
    </row>
    <row r="29" spans="1:16" x14ac:dyDescent="0.25">
      <c r="A29" s="29" t="s">
        <v>22</v>
      </c>
      <c r="B29" s="24">
        <v>300000</v>
      </c>
      <c r="C29" s="24">
        <v>305500</v>
      </c>
      <c r="D29" s="24">
        <v>0</v>
      </c>
      <c r="E29" s="24">
        <v>0</v>
      </c>
      <c r="F29" s="24">
        <v>0</v>
      </c>
      <c r="G29" s="24">
        <v>0</v>
      </c>
      <c r="H29" s="24">
        <v>7168.5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f t="shared" si="4"/>
        <v>7168.5</v>
      </c>
    </row>
    <row r="30" spans="1:16" ht="30" x14ac:dyDescent="0.25">
      <c r="A30" s="29" t="s">
        <v>23</v>
      </c>
      <c r="B30" s="24">
        <v>305002</v>
      </c>
      <c r="C30" s="24">
        <v>265002</v>
      </c>
      <c r="D30" s="24">
        <v>0</v>
      </c>
      <c r="E30" s="24">
        <v>0</v>
      </c>
      <c r="F30" s="24">
        <v>3223.43</v>
      </c>
      <c r="G30" s="24">
        <v>324.97000000000003</v>
      </c>
      <c r="H30" s="24">
        <f>1761.47+2643.82</f>
        <v>4405.29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f t="shared" si="4"/>
        <v>7953.69</v>
      </c>
    </row>
    <row r="31" spans="1:16" ht="30" x14ac:dyDescent="0.25">
      <c r="A31" s="29" t="s">
        <v>24</v>
      </c>
      <c r="B31" s="24">
        <v>11100000</v>
      </c>
      <c r="C31" s="24">
        <v>11207000</v>
      </c>
      <c r="D31" s="24">
        <v>722500</v>
      </c>
      <c r="E31" s="24">
        <v>722500</v>
      </c>
      <c r="F31" s="24">
        <v>1015500</v>
      </c>
      <c r="G31" s="24">
        <v>516862.32</v>
      </c>
      <c r="H31" s="24">
        <f>505000+50548.6+115907.57+2468.44</f>
        <v>673924.60999999987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f t="shared" si="4"/>
        <v>3651286.9299999997</v>
      </c>
    </row>
    <row r="32" spans="1:16" ht="30" x14ac:dyDescent="0.25">
      <c r="A32" s="29" t="s">
        <v>25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4"/>
        <v>0</v>
      </c>
    </row>
    <row r="33" spans="1:16" x14ac:dyDescent="0.25">
      <c r="A33" s="29" t="s">
        <v>26</v>
      </c>
      <c r="B33" s="24">
        <v>1180687</v>
      </c>
      <c r="C33" s="24">
        <v>1073687</v>
      </c>
      <c r="D33" s="24">
        <v>0</v>
      </c>
      <c r="E33" s="24">
        <v>0</v>
      </c>
      <c r="F33" s="24">
        <v>121582.27</v>
      </c>
      <c r="G33" s="24">
        <f>11876.94+6062.46+4218.65</f>
        <v>22158.050000000003</v>
      </c>
      <c r="H33" s="24">
        <f>47039.23+90737.28+26000.24+58481.84+12398.5+1247.85</f>
        <v>235904.94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f>SUM(D33:O33)</f>
        <v>379645.26</v>
      </c>
    </row>
    <row r="34" spans="1:16" x14ac:dyDescent="0.25">
      <c r="A34" s="3" t="s">
        <v>27</v>
      </c>
      <c r="B34" s="25">
        <f>B35</f>
        <v>50000</v>
      </c>
      <c r="C34" s="25">
        <f>C35</f>
        <v>50000</v>
      </c>
      <c r="D34" s="25">
        <f t="shared" ref="D34:P34" si="5">D35</f>
        <v>0</v>
      </c>
      <c r="E34" s="25">
        <f t="shared" si="5"/>
        <v>0</v>
      </c>
      <c r="F34" s="25">
        <f t="shared" si="5"/>
        <v>24000</v>
      </c>
      <c r="G34" s="25">
        <f t="shared" si="5"/>
        <v>0</v>
      </c>
      <c r="H34" s="25">
        <f t="shared" si="5"/>
        <v>0</v>
      </c>
      <c r="I34" s="25">
        <f t="shared" si="5"/>
        <v>0</v>
      </c>
      <c r="J34" s="25">
        <f t="shared" si="5"/>
        <v>0</v>
      </c>
      <c r="K34" s="25">
        <f t="shared" si="5"/>
        <v>0</v>
      </c>
      <c r="L34" s="25">
        <f t="shared" si="5"/>
        <v>0</v>
      </c>
      <c r="M34" s="25">
        <f t="shared" si="5"/>
        <v>0</v>
      </c>
      <c r="N34" s="25">
        <f t="shared" si="5"/>
        <v>0</v>
      </c>
      <c r="O34" s="25">
        <f t="shared" si="5"/>
        <v>0</v>
      </c>
      <c r="P34" s="25">
        <f t="shared" si="5"/>
        <v>24000</v>
      </c>
    </row>
    <row r="35" spans="1:16" ht="30" x14ac:dyDescent="0.25">
      <c r="A35" s="29" t="s">
        <v>28</v>
      </c>
      <c r="B35" s="24">
        <v>50000</v>
      </c>
      <c r="C35" s="24">
        <v>50000</v>
      </c>
      <c r="D35" s="24">
        <v>0</v>
      </c>
      <c r="E35" s="24">
        <v>0</v>
      </c>
      <c r="F35" s="24">
        <v>24000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f>SUM(D35:O35)</f>
        <v>24000</v>
      </c>
    </row>
    <row r="36" spans="1:16" ht="30" x14ac:dyDescent="0.25">
      <c r="A36" s="29" t="s">
        <v>29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ht="30" x14ac:dyDescent="0.25">
      <c r="A37" s="29" t="s">
        <v>30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</row>
    <row r="38" spans="1:16" ht="30" x14ac:dyDescent="0.25">
      <c r="A38" s="29" t="s">
        <v>31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</row>
    <row r="39" spans="1:16" ht="30" x14ac:dyDescent="0.25">
      <c r="A39" s="29" t="s">
        <v>32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1:16" x14ac:dyDescent="0.25">
      <c r="A40" s="29" t="s">
        <v>33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ht="18.75" customHeight="1" x14ac:dyDescent="0.25">
      <c r="A41" s="29" t="s">
        <v>34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ht="30" x14ac:dyDescent="0.25">
      <c r="A42" s="29" t="s">
        <v>35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x14ac:dyDescent="0.25">
      <c r="A43" s="57" t="s">
        <v>36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ht="20.25" customHeight="1" x14ac:dyDescent="0.25">
      <c r="A44" s="29" t="s">
        <v>37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ht="30" x14ac:dyDescent="0.25">
      <c r="A45" s="29" t="s">
        <v>38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1:16" ht="30" x14ac:dyDescent="0.25">
      <c r="A46" s="29" t="s">
        <v>39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1:16" ht="30" x14ac:dyDescent="0.25">
      <c r="A47" s="29" t="s">
        <v>40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 ht="18" customHeight="1" x14ac:dyDescent="0.25">
      <c r="A48" s="29" t="s">
        <v>41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ht="30" x14ac:dyDescent="0.25">
      <c r="A49" s="29" t="s">
        <v>42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ht="18.75" customHeight="1" x14ac:dyDescent="0.25">
      <c r="A50" s="57" t="s">
        <v>43</v>
      </c>
      <c r="B50" s="25">
        <f>B51+B54+B55</f>
        <v>1000000</v>
      </c>
      <c r="C50" s="25">
        <f>C51+C54+C55+C52+C58</f>
        <v>1000000</v>
      </c>
      <c r="D50" s="25">
        <f>D51+D54+D55</f>
        <v>0</v>
      </c>
      <c r="E50" s="25">
        <f>E51+E54+E55</f>
        <v>0</v>
      </c>
      <c r="F50" s="25">
        <f>F51+F54+F55+F58</f>
        <v>842496.34</v>
      </c>
      <c r="G50" s="25">
        <f>G51+G54+G55</f>
        <v>0</v>
      </c>
      <c r="H50" s="25">
        <f>H52+H51</f>
        <v>24721</v>
      </c>
      <c r="I50" s="25">
        <f t="shared" ref="I50:M50" si="6">I51+I54+I55</f>
        <v>0</v>
      </c>
      <c r="J50" s="25">
        <f t="shared" si="6"/>
        <v>0</v>
      </c>
      <c r="K50" s="25">
        <f t="shared" si="6"/>
        <v>0</v>
      </c>
      <c r="L50" s="25">
        <f>L51+L54+L55+L52</f>
        <v>0</v>
      </c>
      <c r="M50" s="25">
        <f t="shared" si="6"/>
        <v>0</v>
      </c>
      <c r="N50" s="25">
        <f>N51+N54+N55+N52+N58</f>
        <v>0</v>
      </c>
      <c r="O50" s="25">
        <f>O51+O54+O55+O52</f>
        <v>0</v>
      </c>
      <c r="P50" s="25">
        <f>SUM(D50:O50)</f>
        <v>867217.34</v>
      </c>
    </row>
    <row r="51" spans="1:16" x14ac:dyDescent="0.25">
      <c r="A51" s="29" t="s">
        <v>44</v>
      </c>
      <c r="B51" s="24">
        <v>650000</v>
      </c>
      <c r="C51" s="24">
        <v>913000</v>
      </c>
      <c r="D51" s="24">
        <v>0</v>
      </c>
      <c r="E51" s="24">
        <v>0</v>
      </c>
      <c r="F51" s="24">
        <v>802496.34</v>
      </c>
      <c r="G51" s="24">
        <v>0</v>
      </c>
      <c r="H51" s="24">
        <v>24721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f>SUM(D51:O51)</f>
        <v>827217.34</v>
      </c>
    </row>
    <row r="52" spans="1:16" ht="30" x14ac:dyDescent="0.25">
      <c r="A52" s="29" t="s">
        <v>45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f>SUM(D52:O52)</f>
        <v>0</v>
      </c>
    </row>
    <row r="53" spans="1:16" ht="30" x14ac:dyDescent="0.25">
      <c r="A53" s="29" t="s">
        <v>46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f t="shared" ref="P53:P55" si="7">SUM(D53:O53)</f>
        <v>0</v>
      </c>
    </row>
    <row r="54" spans="1:16" ht="30" x14ac:dyDescent="0.25">
      <c r="A54" s="29" t="s">
        <v>47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f t="shared" si="7"/>
        <v>0</v>
      </c>
    </row>
    <row r="55" spans="1:16" ht="30" x14ac:dyDescent="0.25">
      <c r="A55" s="29" t="s">
        <v>48</v>
      </c>
      <c r="B55" s="24">
        <v>350000</v>
      </c>
      <c r="C55" s="24">
        <v>47000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f t="shared" si="7"/>
        <v>0</v>
      </c>
    </row>
    <row r="56" spans="1:16" x14ac:dyDescent="0.25">
      <c r="A56" s="29" t="s">
        <v>49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</row>
    <row r="57" spans="1:16" x14ac:dyDescent="0.25">
      <c r="A57" s="29" t="s">
        <v>50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</row>
    <row r="58" spans="1:16" x14ac:dyDescent="0.25">
      <c r="A58" s="29" t="s">
        <v>51</v>
      </c>
      <c r="B58" s="24">
        <v>0</v>
      </c>
      <c r="C58" s="24">
        <v>40000</v>
      </c>
      <c r="D58" s="24">
        <v>0</v>
      </c>
      <c r="E58" s="24">
        <v>0</v>
      </c>
      <c r="F58" s="24">
        <v>40000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f>SUM(D58:O58)</f>
        <v>40000</v>
      </c>
    </row>
    <row r="59" spans="1:16" ht="30" x14ac:dyDescent="0.25">
      <c r="A59" s="29" t="s">
        <v>52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1:16" x14ac:dyDescent="0.25">
      <c r="A60" s="3" t="s">
        <v>53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1:16" x14ac:dyDescent="0.25">
      <c r="A61" s="29" t="s">
        <v>54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1:16" x14ac:dyDescent="0.25">
      <c r="A62" s="29" t="s">
        <v>55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</row>
    <row r="63" spans="1:16" x14ac:dyDescent="0.25">
      <c r="A63" s="29" t="s">
        <v>56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1:16" ht="34.5" customHeight="1" x14ac:dyDescent="0.25">
      <c r="A64" s="29" t="s">
        <v>57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1:16" ht="30" x14ac:dyDescent="0.25">
      <c r="A65" s="57" t="s">
        <v>58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</row>
    <row r="66" spans="1:16" x14ac:dyDescent="0.25">
      <c r="A66" s="29" t="s">
        <v>59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ht="30" x14ac:dyDescent="0.25">
      <c r="A67" s="29" t="s">
        <v>60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</row>
    <row r="68" spans="1:16" x14ac:dyDescent="0.25">
      <c r="A68" s="3" t="s">
        <v>61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1:16" x14ac:dyDescent="0.25">
      <c r="A69" s="29" t="s">
        <v>62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</row>
    <row r="70" spans="1:16" x14ac:dyDescent="0.25">
      <c r="A70" s="29" t="s">
        <v>63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</row>
    <row r="71" spans="1:16" ht="30" x14ac:dyDescent="0.25">
      <c r="A71" s="29" t="s">
        <v>64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1:16" x14ac:dyDescent="0.25">
      <c r="A72" s="1" t="s">
        <v>67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1:16" ht="18.75" customHeight="1" x14ac:dyDescent="0.25">
      <c r="A73" s="57" t="s">
        <v>68</v>
      </c>
      <c r="B73" s="25"/>
      <c r="C73" s="25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 ht="15.75" customHeight="1" x14ac:dyDescent="0.25">
      <c r="A74" s="29" t="s">
        <v>69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30" x14ac:dyDescent="0.25">
      <c r="A75" s="29" t="s">
        <v>70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</row>
    <row r="76" spans="1:16" x14ac:dyDescent="0.25">
      <c r="A76" s="3" t="s">
        <v>71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</row>
    <row r="77" spans="1:16" x14ac:dyDescent="0.25">
      <c r="A77" s="29" t="s">
        <v>72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</row>
    <row r="78" spans="1:16" x14ac:dyDescent="0.25">
      <c r="A78" s="29" t="s">
        <v>73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</row>
    <row r="79" spans="1:16" x14ac:dyDescent="0.25">
      <c r="A79" s="3" t="s">
        <v>74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</row>
    <row r="80" spans="1:16" ht="18.75" customHeight="1" x14ac:dyDescent="0.25">
      <c r="A80" s="29" t="s">
        <v>75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1:16" x14ac:dyDescent="0.25">
      <c r="A81" s="9" t="s">
        <v>65</v>
      </c>
      <c r="B81" s="28">
        <f>B50+B34+B24+B14+B10</f>
        <v>311699277</v>
      </c>
      <c r="C81" s="28">
        <f>SUM(C79+C50+C34+C24+C14+C10)</f>
        <v>314399277</v>
      </c>
      <c r="D81" s="28">
        <f>D50+D34+D24+D14+D10</f>
        <v>19181413.640000001</v>
      </c>
      <c r="E81" s="28">
        <f>E50+E34+E24+E14+E10</f>
        <v>19650295.649999999</v>
      </c>
      <c r="F81" s="28">
        <f>F50+F34+F24+F14+F10</f>
        <v>23135808.469999999</v>
      </c>
      <c r="G81" s="28">
        <f>G50+G34+G24+G14+G10</f>
        <v>32521576.899999999</v>
      </c>
      <c r="H81" s="28">
        <f>H50+H34+H24+H14+H10</f>
        <v>19743243.73</v>
      </c>
      <c r="I81" s="28">
        <f>I50+I34+I24+I14+I10</f>
        <v>0</v>
      </c>
      <c r="J81" s="28">
        <f>J50+J34+J24+J14+J10</f>
        <v>0</v>
      </c>
      <c r="K81" s="28">
        <f>K50+K34+K24+K14+K10</f>
        <v>0</v>
      </c>
      <c r="L81" s="28">
        <f>L50+L34+L24+L14+L10</f>
        <v>0</v>
      </c>
      <c r="M81" s="28">
        <f>M50+M34+M24+M14+M10</f>
        <v>0</v>
      </c>
      <c r="N81" s="28">
        <f>N50+N34+N24+N14+N10</f>
        <v>0</v>
      </c>
      <c r="O81" s="28">
        <f>O50+O34+O24+O14+O10</f>
        <v>0</v>
      </c>
      <c r="P81" s="28">
        <f>P50+P34+P24+P14+P10</f>
        <v>114232338.38999999</v>
      </c>
    </row>
    <row r="82" spans="1:16" ht="15" customHeight="1" x14ac:dyDescent="0.25"/>
    <row r="83" spans="1:16" ht="18.75" x14ac:dyDescent="0.3">
      <c r="A83" s="31"/>
      <c r="B83" s="31" t="s">
        <v>101</v>
      </c>
      <c r="C83" s="30"/>
      <c r="D83" s="30"/>
      <c r="E83" s="30"/>
      <c r="F83" s="31" t="s">
        <v>102</v>
      </c>
      <c r="H83" s="32"/>
      <c r="J83" s="33"/>
      <c r="K83" s="30"/>
    </row>
    <row r="84" spans="1:16" ht="35.25" customHeight="1" x14ac:dyDescent="0.3">
      <c r="A84" s="34"/>
      <c r="B84" s="34" t="s">
        <v>103</v>
      </c>
      <c r="C84" s="32"/>
      <c r="D84" s="30"/>
      <c r="E84" s="30"/>
      <c r="F84" s="34" t="s">
        <v>103</v>
      </c>
      <c r="H84" s="34"/>
      <c r="I84" s="30"/>
      <c r="J84" s="30"/>
      <c r="K84" s="30"/>
    </row>
    <row r="85" spans="1:16" ht="18.75" x14ac:dyDescent="0.3">
      <c r="A85" s="32"/>
      <c r="B85" s="32" t="s">
        <v>104</v>
      </c>
      <c r="C85" s="32"/>
      <c r="D85" s="30"/>
      <c r="E85" s="30"/>
      <c r="F85" s="32" t="s">
        <v>105</v>
      </c>
      <c r="G85" s="47" t="s">
        <v>107</v>
      </c>
      <c r="H85" s="47"/>
      <c r="I85" s="47"/>
      <c r="J85" s="47"/>
      <c r="K85" s="30"/>
    </row>
    <row r="86" spans="1:16" s="58" customFormat="1" ht="18.75" x14ac:dyDescent="0.3">
      <c r="A86" s="31"/>
      <c r="B86" s="31" t="s">
        <v>106</v>
      </c>
      <c r="C86" s="31"/>
      <c r="D86" s="30"/>
      <c r="E86" s="30"/>
      <c r="F86" s="31" t="s">
        <v>108</v>
      </c>
      <c r="H86" s="31"/>
      <c r="I86" s="30"/>
      <c r="J86" s="30"/>
      <c r="K86" s="30"/>
    </row>
    <row r="87" spans="1:16" ht="18.75" x14ac:dyDescent="0.3">
      <c r="D87" s="30"/>
      <c r="E87" s="30"/>
      <c r="F87" s="30"/>
      <c r="H87" s="30"/>
      <c r="I87" s="30"/>
      <c r="J87" s="30"/>
      <c r="K87" s="30"/>
    </row>
    <row r="88" spans="1:16" ht="18.75" x14ac:dyDescent="0.25">
      <c r="B88" s="32"/>
    </row>
    <row r="90" spans="1:16" x14ac:dyDescent="0.25">
      <c r="C90" s="24"/>
    </row>
  </sheetData>
  <mergeCells count="10">
    <mergeCell ref="G85:J85"/>
    <mergeCell ref="A5:P5"/>
    <mergeCell ref="D7:P7"/>
    <mergeCell ref="A1:P1"/>
    <mergeCell ref="A2:P2"/>
    <mergeCell ref="A7:A8"/>
    <mergeCell ref="B7:B8"/>
    <mergeCell ref="C7:C8"/>
    <mergeCell ref="A3:P3"/>
    <mergeCell ref="A4:P4"/>
  </mergeCells>
  <pageMargins left="0.11811023622047245" right="0.11811023622047245" top="0.39370078740157483" bottom="0.35433070866141736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zoomScaleNormal="100" workbookViewId="0">
      <selection activeCell="G97" sqref="G97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1" t="s">
        <v>111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ht="21" customHeight="1" x14ac:dyDescent="0.25">
      <c r="A3" s="53" t="s">
        <v>100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5.75" x14ac:dyDescent="0.25">
      <c r="A4" s="45">
        <v>2025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5" ht="15.75" customHeight="1" x14ac:dyDescent="0.25">
      <c r="A5" s="40" t="s">
        <v>92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5" ht="15.75" customHeight="1" x14ac:dyDescent="0.25">
      <c r="A6" s="41" t="s">
        <v>77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14442586.75</v>
      </c>
      <c r="C10" s="25">
        <f t="shared" ref="C10:M10" si="0">C11+C12+C15</f>
        <v>14350642.969999999</v>
      </c>
      <c r="D10" s="25">
        <f t="shared" si="0"/>
        <v>16190801.01</v>
      </c>
      <c r="E10" s="25">
        <f t="shared" si="0"/>
        <v>27027152.419999998</v>
      </c>
      <c r="F10" s="25">
        <f t="shared" si="0"/>
        <v>14161002.27</v>
      </c>
      <c r="G10" s="25">
        <f t="shared" si="0"/>
        <v>0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86172185.419999987</v>
      </c>
    </row>
    <row r="11" spans="1:15" ht="17.25" customHeight="1" x14ac:dyDescent="0.25">
      <c r="A11" s="5" t="s">
        <v>2</v>
      </c>
      <c r="B11" s="24">
        <v>12285814.609999999</v>
      </c>
      <c r="C11" s="24">
        <v>12206064.609999999</v>
      </c>
      <c r="D11" s="24">
        <f>12083464.61+29333.33+1622250+301435.18</f>
        <v>14036483.119999999</v>
      </c>
      <c r="E11" s="24">
        <v>24873991.829999998</v>
      </c>
      <c r="F11" s="24">
        <v>12017703.73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75420057.899999991</v>
      </c>
    </row>
    <row r="12" spans="1:15" ht="17.25" customHeight="1" x14ac:dyDescent="0.25">
      <c r="A12" s="5" t="s">
        <v>3</v>
      </c>
      <c r="B12" s="24">
        <v>309500</v>
      </c>
      <c r="C12" s="24">
        <v>309500</v>
      </c>
      <c r="D12" s="24">
        <v>333500</v>
      </c>
      <c r="E12" s="24">
        <v>333500</v>
      </c>
      <c r="F12" s="24">
        <v>333500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1619500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1847272.14</v>
      </c>
      <c r="C15" s="24">
        <v>1835078.36</v>
      </c>
      <c r="D15" s="24">
        <f>851893.53+860008.65+108915.71</f>
        <v>1820817.8900000001</v>
      </c>
      <c r="E15" s="24">
        <v>1819660.59</v>
      </c>
      <c r="F15" s="24">
        <v>1809798.54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9132627.5199999996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4013686.89</v>
      </c>
      <c r="C16" s="25">
        <f t="shared" si="1"/>
        <v>4564432.68</v>
      </c>
      <c r="D16" s="25">
        <f t="shared" si="1"/>
        <v>4875188.9699999988</v>
      </c>
      <c r="E16" s="25">
        <f>E17+E18+E19+E20+E21+E22+E23+E24+E25</f>
        <v>4934694.6399999997</v>
      </c>
      <c r="F16" s="25">
        <f t="shared" si="1"/>
        <v>4598395.13</v>
      </c>
      <c r="G16" s="25">
        <f>G17+G18+G19+G20+G21+G22+G23+G24+G25</f>
        <v>0</v>
      </c>
      <c r="H16" s="25">
        <f t="shared" si="1"/>
        <v>0</v>
      </c>
      <c r="I16" s="25">
        <f t="shared" si="1"/>
        <v>0</v>
      </c>
      <c r="J16" s="25">
        <f>J17+J18+J19+J20+J21+J22+J23+J24+J25</f>
        <v>0</v>
      </c>
      <c r="K16" s="25">
        <f t="shared" ref="K16" si="2">K17+K18+K19+K20+K21+K22+K23+K24</f>
        <v>0</v>
      </c>
      <c r="L16" s="25">
        <f>L17+L18+L19+L20+L21+L22+L23+L24+L25</f>
        <v>0</v>
      </c>
      <c r="M16" s="25">
        <f>M17+M18+M19+M20+M21+M22+M23+M24+M25</f>
        <v>0</v>
      </c>
      <c r="N16" s="25">
        <f>N17+N18+N19+N20+N21+N22+N23+N24+N25</f>
        <v>22986398.310000002</v>
      </c>
    </row>
    <row r="17" spans="1:14" ht="17.25" customHeight="1" x14ac:dyDescent="0.25">
      <c r="A17" s="5" t="s">
        <v>8</v>
      </c>
      <c r="B17" s="24">
        <v>2698575.53</v>
      </c>
      <c r="C17" s="24">
        <v>3129735.17</v>
      </c>
      <c r="D17" s="24">
        <f>440808.48+271168.95+920792.42+643488.19+3874+2500</f>
        <v>2282632.04</v>
      </c>
      <c r="E17" s="24">
        <v>2152214.56</v>
      </c>
      <c r="F17" s="24">
        <v>2135040.2400000002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12398197.539999999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3">SUM(B18:M18)</f>
        <v>0</v>
      </c>
    </row>
    <row r="19" spans="1:14" ht="17.25" customHeight="1" x14ac:dyDescent="0.25">
      <c r="A19" s="5" t="s">
        <v>10</v>
      </c>
      <c r="B19" s="24">
        <v>0</v>
      </c>
      <c r="C19" s="24">
        <v>119000</v>
      </c>
      <c r="D19" s="24">
        <v>85400</v>
      </c>
      <c r="E19" s="24">
        <v>167517.5</v>
      </c>
      <c r="F19" s="24">
        <v>76450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3"/>
        <v>448367.5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3"/>
        <v>0</v>
      </c>
    </row>
    <row r="21" spans="1:14" ht="17.25" customHeight="1" x14ac:dyDescent="0.25">
      <c r="A21" s="5" t="s">
        <v>12</v>
      </c>
      <c r="B21" s="24">
        <v>0</v>
      </c>
      <c r="C21" s="24">
        <v>84488</v>
      </c>
      <c r="D21" s="24">
        <f>147618+207383.48</f>
        <v>355001.48</v>
      </c>
      <c r="E21" s="24">
        <f>65955.93+81184</f>
        <v>147139.93</v>
      </c>
      <c r="F21" s="24">
        <v>222971.8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3"/>
        <v>809601.21</v>
      </c>
    </row>
    <row r="22" spans="1:14" ht="17.25" customHeight="1" x14ac:dyDescent="0.25">
      <c r="A22" s="5" t="s">
        <v>13</v>
      </c>
      <c r="B22" s="24">
        <v>1194917.68</v>
      </c>
      <c r="C22" s="24">
        <v>880511.45</v>
      </c>
      <c r="D22" s="24">
        <v>1565479</v>
      </c>
      <c r="E22" s="24">
        <v>1525598.76</v>
      </c>
      <c r="F22" s="24">
        <v>1656841.75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3"/>
        <v>6823348.6399999997</v>
      </c>
    </row>
    <row r="23" spans="1:14" ht="27" customHeight="1" x14ac:dyDescent="0.25">
      <c r="A23" s="29" t="s">
        <v>14</v>
      </c>
      <c r="B23" s="24">
        <v>42244</v>
      </c>
      <c r="C23" s="24">
        <v>86199</v>
      </c>
      <c r="D23" s="24">
        <f>88500+319732.8+41300</f>
        <v>449532.8</v>
      </c>
      <c r="E23" s="24">
        <v>566400</v>
      </c>
      <c r="F23" s="24">
        <v>7620.8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3"/>
        <v>1151996.6000000001</v>
      </c>
    </row>
    <row r="24" spans="1:14" ht="17.25" customHeight="1" x14ac:dyDescent="0.25">
      <c r="A24" s="5" t="s">
        <v>15</v>
      </c>
      <c r="B24" s="24">
        <v>0</v>
      </c>
      <c r="C24" s="24">
        <v>57216.05</v>
      </c>
      <c r="D24" s="24">
        <f>1200.01+16500</f>
        <v>17700.009999999998</v>
      </c>
      <c r="E24" s="24">
        <v>54819.51</v>
      </c>
      <c r="F24" s="24">
        <v>179116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308851.57</v>
      </c>
    </row>
    <row r="25" spans="1:14" ht="17.25" customHeight="1" x14ac:dyDescent="0.25">
      <c r="A25" s="5" t="s">
        <v>16</v>
      </c>
      <c r="B25" s="24">
        <v>77949.679999999993</v>
      </c>
      <c r="C25" s="24">
        <v>207283.01</v>
      </c>
      <c r="D25" s="24">
        <v>119443.64</v>
      </c>
      <c r="E25" s="24">
        <v>321004.38</v>
      </c>
      <c r="F25" s="24">
        <v>320354.53999999998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1046035.25</v>
      </c>
    </row>
    <row r="26" spans="1:14" ht="17.25" customHeight="1" x14ac:dyDescent="0.25">
      <c r="A26" s="3" t="s">
        <v>17</v>
      </c>
      <c r="B26" s="25">
        <f>B27+B28+B29+B30+B31+B32+B33</f>
        <v>725140</v>
      </c>
      <c r="C26" s="25">
        <f>C27+C28+C29+C30+C31+C32+C33+C35</f>
        <v>735220</v>
      </c>
      <c r="D26" s="25">
        <f>D27+D28+D29+D30+D31+D32+D33+D35</f>
        <v>1203322.1499999999</v>
      </c>
      <c r="E26" s="25">
        <f>E27+E28+E29+E30+E31+E32+E35+E33</f>
        <v>559729.84</v>
      </c>
      <c r="F26" s="25">
        <f t="shared" ref="F26:N26" si="4">F27+F28+F29+F30+F31+F32+F33+F35</f>
        <v>959125.33000000007</v>
      </c>
      <c r="G26" s="25">
        <f t="shared" si="4"/>
        <v>0</v>
      </c>
      <c r="H26" s="25">
        <f t="shared" si="4"/>
        <v>0</v>
      </c>
      <c r="I26" s="25">
        <f t="shared" si="4"/>
        <v>0</v>
      </c>
      <c r="J26" s="25">
        <f t="shared" si="4"/>
        <v>0</v>
      </c>
      <c r="K26" s="25">
        <f t="shared" si="4"/>
        <v>0</v>
      </c>
      <c r="L26" s="25">
        <f t="shared" si="4"/>
        <v>0</v>
      </c>
      <c r="M26" s="25">
        <f t="shared" si="4"/>
        <v>0</v>
      </c>
      <c r="N26" s="25">
        <f t="shared" si="4"/>
        <v>4182537.3199999994</v>
      </c>
    </row>
    <row r="27" spans="1:14" ht="17.25" customHeight="1" x14ac:dyDescent="0.25">
      <c r="A27" s="5" t="s">
        <v>18</v>
      </c>
      <c r="B27" s="24">
        <v>2640</v>
      </c>
      <c r="C27" s="24">
        <v>12720</v>
      </c>
      <c r="D27" s="24">
        <v>31770.05</v>
      </c>
      <c r="E27" s="24">
        <v>20384.5</v>
      </c>
      <c r="F27" s="24">
        <v>18369.990000000002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5">SUM(B27:M27)</f>
        <v>85884.540000000008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5"/>
        <v>0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31246.400000000001</v>
      </c>
      <c r="E29" s="24">
        <v>0</v>
      </c>
      <c r="F29" s="24">
        <v>19352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5"/>
        <v>50598.400000000001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7168.5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5"/>
        <v>7168.5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f>662.22+2561.21</f>
        <v>3223.4300000000003</v>
      </c>
      <c r="E32" s="24">
        <v>324.97000000000003</v>
      </c>
      <c r="F32" s="24">
        <v>4405.29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5"/>
        <v>7953.6900000000005</v>
      </c>
    </row>
    <row r="33" spans="1:14" ht="17.25" customHeight="1" x14ac:dyDescent="0.25">
      <c r="A33" s="5" t="s">
        <v>24</v>
      </c>
      <c r="B33" s="24">
        <v>722500</v>
      </c>
      <c r="C33" s="24">
        <v>722500</v>
      </c>
      <c r="D33" s="24">
        <f>1015500</f>
        <v>1015500</v>
      </c>
      <c r="E33" s="24">
        <v>516862.32</v>
      </c>
      <c r="F33" s="24">
        <v>673924.61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5"/>
        <v>3651286.9299999997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f>38958.76+15538.62+14062.66+45572.3+7449.93</f>
        <v>121582.27000000002</v>
      </c>
      <c r="E35" s="24">
        <v>22158.05</v>
      </c>
      <c r="F35" s="24">
        <v>235904.94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5"/>
        <v>379645.26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24000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D53+D60</f>
        <v>842496.34</v>
      </c>
      <c r="E52" s="25">
        <f>E53+E57+E60</f>
        <v>0</v>
      </c>
      <c r="F52" s="25">
        <f>F54+F53</f>
        <v>24721</v>
      </c>
      <c r="G52" s="25">
        <f>G54+G53+G56+G57</f>
        <v>0</v>
      </c>
      <c r="H52" s="25">
        <f>H53+H57</f>
        <v>0</v>
      </c>
      <c r="I52" s="25">
        <f>I53</f>
        <v>0</v>
      </c>
      <c r="J52" s="25">
        <f>J53+J54</f>
        <v>0</v>
      </c>
      <c r="K52" s="25">
        <f>K53</f>
        <v>0</v>
      </c>
      <c r="L52" s="25">
        <f>L55+L60</f>
        <v>0</v>
      </c>
      <c r="M52" s="25">
        <f>M53+M54+M57</f>
        <v>0</v>
      </c>
      <c r="N52" s="25">
        <f t="shared" ref="N52:N57" si="8">SUM(B52:M52)</f>
        <v>867217.34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802496.34</v>
      </c>
      <c r="E53" s="24">
        <v>0</v>
      </c>
      <c r="F53" s="24">
        <v>24721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 t="shared" si="8"/>
        <v>827217.34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 t="shared" si="8"/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f t="shared" si="8"/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 t="shared" si="8"/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 t="shared" si="8"/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f t="shared" ref="N58:N61" si="9">SUM(B58:M58)</f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f t="shared" si="9"/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40000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f t="shared" si="9"/>
        <v>40000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f t="shared" si="9"/>
        <v>0</v>
      </c>
    </row>
    <row r="62" spans="1:14" ht="17.25" customHeight="1" x14ac:dyDescent="0.25">
      <c r="A62" s="3" t="s">
        <v>53</v>
      </c>
      <c r="B62" s="25">
        <f t="shared" ref="B62:N62" si="10">B63</f>
        <v>0</v>
      </c>
      <c r="C62" s="25">
        <f t="shared" si="10"/>
        <v>0</v>
      </c>
      <c r="D62" s="25">
        <f t="shared" si="10"/>
        <v>0</v>
      </c>
      <c r="E62" s="25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0</v>
      </c>
      <c r="J62" s="25">
        <f t="shared" si="10"/>
        <v>0</v>
      </c>
      <c r="K62" s="25">
        <f t="shared" si="10"/>
        <v>0</v>
      </c>
      <c r="L62" s="25">
        <f t="shared" si="10"/>
        <v>0</v>
      </c>
      <c r="M62" s="25">
        <f t="shared" si="10"/>
        <v>0</v>
      </c>
      <c r="N62" s="25">
        <f t="shared" si="10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19181413.640000001</v>
      </c>
      <c r="C83" s="26">
        <f>C52+C16+C10+C26</f>
        <v>19650295.649999999</v>
      </c>
      <c r="D83" s="26">
        <f>D52+D16+D10+D26+D36</f>
        <v>23135808.469999999</v>
      </c>
      <c r="E83" s="26">
        <f>E52+E16+E10+E26</f>
        <v>32521576.899999999</v>
      </c>
      <c r="F83" s="26">
        <f>F52+F16+F10+F26</f>
        <v>19743243.729999997</v>
      </c>
      <c r="G83" s="26">
        <f>G52+G16+G10+G26</f>
        <v>0</v>
      </c>
      <c r="H83" s="26">
        <f>H52+H16+H10+H26</f>
        <v>0</v>
      </c>
      <c r="I83" s="26">
        <f>I52+I26+I16+I10</f>
        <v>0</v>
      </c>
      <c r="J83" s="26">
        <f>J52+J26+J16+J10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114232338.38999999</v>
      </c>
    </row>
    <row r="84" spans="1:14" x14ac:dyDescent="0.25">
      <c r="A84" s="38" t="s">
        <v>112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109</v>
      </c>
      <c r="F88" s="36"/>
      <c r="G88" s="36"/>
      <c r="H88" s="36"/>
      <c r="I88" s="36"/>
      <c r="J88" s="30"/>
    </row>
    <row r="89" spans="1:14" ht="18.75" x14ac:dyDescent="0.3">
      <c r="A89" s="32" t="s">
        <v>106</v>
      </c>
      <c r="B89" s="32"/>
      <c r="C89" s="30"/>
      <c r="D89" s="30"/>
      <c r="E89" s="32" t="s">
        <v>110</v>
      </c>
      <c r="G89" s="32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15748031496062992" bottom="0.19685039370078741" header="0.31496062992125984" footer="0.31496062992125984"/>
  <pageSetup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2025-06-04T15:41:55Z</cp:lastPrinted>
  <dcterms:created xsi:type="dcterms:W3CDTF">2021-07-29T18:58:50Z</dcterms:created>
  <dcterms:modified xsi:type="dcterms:W3CDTF">2025-06-04T15:43:28Z</dcterms:modified>
</cp:coreProperties>
</file>