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2024\Finanzas\Diciembre\"/>
    </mc:Choice>
  </mc:AlternateContent>
  <xr:revisionPtr revIDLastSave="0" documentId="8_{05707B51-8E0C-4B05-BB19-6EF26CCAE6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5" i="2" l="1"/>
  <c r="O37" i="2"/>
  <c r="O35" i="2"/>
  <c r="O34" i="2"/>
  <c r="O33" i="2"/>
  <c r="O31" i="2"/>
  <c r="O30" i="2"/>
  <c r="O29" i="2"/>
  <c r="O27" i="2"/>
  <c r="O26" i="2"/>
  <c r="O25" i="2"/>
  <c r="O23" i="2"/>
  <c r="O22" i="2"/>
  <c r="O19" i="2"/>
  <c r="O13" i="2"/>
  <c r="O17" i="2"/>
  <c r="O14" i="2"/>
  <c r="E54" i="1"/>
  <c r="L16" i="3" l="1"/>
  <c r="L52" i="3"/>
  <c r="N55" i="3"/>
  <c r="N61" i="3"/>
  <c r="N60" i="3"/>
  <c r="N59" i="3"/>
  <c r="N58" i="3"/>
  <c r="N54" i="2"/>
  <c r="N37" i="2"/>
  <c r="N35" i="2"/>
  <c r="N26" i="2"/>
  <c r="N23" i="2"/>
  <c r="N19" i="2"/>
  <c r="N18" i="2" s="1"/>
  <c r="N13" i="2"/>
  <c r="N17" i="2"/>
  <c r="K35" i="3"/>
  <c r="K29" i="3"/>
  <c r="K23" i="3"/>
  <c r="K21" i="3"/>
  <c r="K17" i="3"/>
  <c r="K11" i="3"/>
  <c r="K12" i="3"/>
  <c r="K15" i="3"/>
  <c r="J83" i="3"/>
  <c r="J52" i="3"/>
  <c r="J26" i="3"/>
  <c r="J16" i="3"/>
  <c r="L54" i="2"/>
  <c r="L18" i="2"/>
  <c r="J17" i="2"/>
  <c r="H23" i="2"/>
  <c r="C54" i="2"/>
  <c r="J35" i="2"/>
  <c r="J29" i="2"/>
  <c r="J27" i="2"/>
  <c r="J23" i="2"/>
  <c r="J19" i="2"/>
  <c r="G16" i="3"/>
  <c r="F17" i="3"/>
  <c r="G35" i="3"/>
  <c r="G27" i="3"/>
  <c r="G25" i="3"/>
  <c r="G24" i="3"/>
  <c r="G23" i="3"/>
  <c r="G52" i="3"/>
  <c r="I18" i="2"/>
  <c r="G26" i="3" l="1"/>
  <c r="G33" i="3"/>
  <c r="G17" i="3"/>
  <c r="G15" i="3"/>
  <c r="G11" i="3"/>
  <c r="F26" i="3"/>
  <c r="F52" i="3"/>
  <c r="F16" i="3"/>
  <c r="F83" i="3" s="1"/>
  <c r="H55" i="2"/>
  <c r="H54" i="2" s="1"/>
  <c r="H37" i="2"/>
  <c r="H29" i="2"/>
  <c r="H24" i="2"/>
  <c r="H19" i="2"/>
  <c r="H18" i="2" s="1"/>
  <c r="H13" i="2"/>
  <c r="H17" i="2"/>
  <c r="P39" i="2"/>
  <c r="E16" i="3"/>
  <c r="E26" i="3"/>
  <c r="G37" i="2"/>
  <c r="G31" i="2"/>
  <c r="G21" i="2"/>
  <c r="G13" i="2"/>
  <c r="G83" i="3" l="1"/>
  <c r="G27" i="2"/>
  <c r="G24" i="2"/>
  <c r="F23" i="2"/>
  <c r="F19" i="2"/>
  <c r="E25" i="2"/>
  <c r="G19" i="2" l="1"/>
  <c r="G18" i="2" s="1"/>
  <c r="G17" i="2"/>
  <c r="E18" i="1"/>
  <c r="F18" i="2"/>
  <c r="N37" i="3" l="1"/>
  <c r="D16" i="3"/>
  <c r="D27" i="3"/>
  <c r="D25" i="3"/>
  <c r="D24" i="3"/>
  <c r="D21" i="3"/>
  <c r="D17" i="3"/>
  <c r="D11" i="3"/>
  <c r="D15" i="3"/>
  <c r="C26" i="3"/>
  <c r="E37" i="2" l="1"/>
  <c r="E29" i="2"/>
  <c r="E27" i="2"/>
  <c r="E19" i="2" l="1"/>
  <c r="E18" i="2" s="1"/>
  <c r="E17" i="2"/>
  <c r="E13" i="2"/>
  <c r="B16" i="3"/>
  <c r="B13" i="2"/>
  <c r="B17" i="2"/>
  <c r="B14" i="2"/>
  <c r="D18" i="2"/>
  <c r="C16" i="3"/>
  <c r="D28" i="1"/>
  <c r="D12" i="1"/>
  <c r="M16" i="3"/>
  <c r="M26" i="3"/>
  <c r="M52" i="3"/>
  <c r="O18" i="2"/>
  <c r="K26" i="3"/>
  <c r="P36" i="2"/>
  <c r="P59" i="2"/>
  <c r="P58" i="2"/>
  <c r="P57" i="2"/>
  <c r="B12" i="2" l="1"/>
  <c r="H16" i="3"/>
  <c r="H52" i="3"/>
  <c r="H26" i="3"/>
  <c r="J18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B18" i="2"/>
  <c r="D18" i="1" l="1"/>
  <c r="M10" i="3"/>
  <c r="O54" i="2"/>
  <c r="C38" i="2"/>
  <c r="C18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D26" i="3"/>
  <c r="N25" i="3"/>
  <c r="K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D83" i="3" s="1"/>
  <c r="C10" i="3"/>
  <c r="B10" i="3"/>
  <c r="N11" i="3"/>
  <c r="P56" i="2"/>
  <c r="P55" i="2"/>
  <c r="M54" i="2"/>
  <c r="K54" i="2"/>
  <c r="J54" i="2"/>
  <c r="I54" i="2"/>
  <c r="P31" i="2"/>
  <c r="P37" i="2"/>
  <c r="P35" i="2"/>
  <c r="P34" i="2"/>
  <c r="P33" i="2"/>
  <c r="P32" i="2"/>
  <c r="P30" i="2"/>
  <c r="P29" i="2"/>
  <c r="P27" i="2"/>
  <c r="P25" i="2"/>
  <c r="P22" i="2"/>
  <c r="P21" i="2"/>
  <c r="P20" i="2"/>
  <c r="K18" i="2"/>
  <c r="P26" i="2"/>
  <c r="P24" i="2"/>
  <c r="P23" i="2"/>
  <c r="P19" i="2"/>
  <c r="P17" i="2"/>
  <c r="P14" i="2"/>
  <c r="P13" i="2"/>
  <c r="G54" i="2"/>
  <c r="F54" i="2"/>
  <c r="E54" i="2"/>
  <c r="D54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M18" i="2"/>
  <c r="O12" i="2"/>
  <c r="N12" i="2"/>
  <c r="M12" i="2"/>
  <c r="L12" i="2"/>
  <c r="K12" i="2"/>
  <c r="J12" i="2"/>
  <c r="I12" i="2"/>
  <c r="H12" i="2"/>
  <c r="G12" i="2"/>
  <c r="F12" i="2"/>
  <c r="E12" i="2"/>
  <c r="D12" i="2"/>
  <c r="B54" i="2"/>
  <c r="B38" i="2"/>
  <c r="C28" i="2"/>
  <c r="B28" i="2"/>
  <c r="C12" i="2"/>
  <c r="K83" i="3" l="1"/>
  <c r="P12" i="2"/>
  <c r="E83" i="3"/>
  <c r="C83" i="3"/>
  <c r="B83" i="3"/>
  <c r="M83" i="3"/>
  <c r="L83" i="3"/>
  <c r="B85" i="2"/>
  <c r="P54" i="2"/>
  <c r="C85" i="2"/>
  <c r="I83" i="3"/>
  <c r="N26" i="3"/>
  <c r="N10" i="3"/>
  <c r="N16" i="3"/>
  <c r="N52" i="3"/>
  <c r="P28" i="2"/>
  <c r="F85" i="2"/>
  <c r="G85" i="2"/>
  <c r="P18" i="2"/>
  <c r="O85" i="2"/>
  <c r="I85" i="2"/>
  <c r="M85" i="2"/>
  <c r="N85" i="2"/>
  <c r="H85" i="2"/>
  <c r="L85" i="2"/>
  <c r="K85" i="2"/>
  <c r="J85" i="2"/>
  <c r="E85" i="2"/>
  <c r="D85" i="2"/>
  <c r="D54" i="1"/>
  <c r="E38" i="1"/>
  <c r="D38" i="1"/>
  <c r="E28" i="1"/>
  <c r="E12" i="1"/>
  <c r="E85" i="1" l="1"/>
  <c r="N83" i="3"/>
  <c r="D85" i="1"/>
  <c r="P85" i="2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<sst xmlns="http://schemas.openxmlformats.org/spreadsheetml/2006/main" count="293" uniqueCount="115">
  <si>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</si>
  <si>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</si>
  <si>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</si>
  <si>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</si>
  <si>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</si>
  <si>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</si>
  <si>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</si>
  <si>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</si>
  <si>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</si>
  <si>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</si>
  <si>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</si>
  <si>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</si>
  <si>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</si>
  <si>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</si>
  <si>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</si>
  <si>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</si>
  <si>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</si>
  <si>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</si>
  <si>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</si>
  <si>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</si>
  <si>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</si>
  <si>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</si>
  <si>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</si>
  <si>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</si>
  <si>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</si>
  <si>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</si>
  <si>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</si>
  <si>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</si>
  <si>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</si>
  <si>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</si>
  <si>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</si>
  <si>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</si>
  <si>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</si>
  <si>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</si>
  <si>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</si>
  <si>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</si>
  <si>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</si>
  <si>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</si>
  <si>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</si>
  <si>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</si>
  <si>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</si>
  <si>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</si>
  <si>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</si>
  <si>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</si>
  <si>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</si>
  <si>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</si>
  <si>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</si>
  <si>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</si>
  <si>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</si>
  <si>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</si>
  <si>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</si>
  <si>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</si>
  <si>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</si>
  <si>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</si>
  <si>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</si>
  <si>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</si>
  <si>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</si>
  <si>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</si>
  <si>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</si>
  <si>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</si>
  <si>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</si>
  <si>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</si>
  <si>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</si>
  <si>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</si>
  <si>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</si>
  <si>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</si>
  <si>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</si>
  <si>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</si>
  <si>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</si>
  <si>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</si>
  <si>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</si>
  <si>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</si>
  <si>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</si>
  <si>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</si>
  <si>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</si>
  <si>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</si>
  <si>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</si>
  <si>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</si>
  <si>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</si>
  <si>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</si>
  <si>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</si>
  <si>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</si>
  <si>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</si>
  <si>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</si>
  <si>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</si>
  <si>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</si>
  <si>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</si>
  <si>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</si>
  <si>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</si>
  <si>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</si>
  <si>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</si>
  <si>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</si>
  <si>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</si>
  <si>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</si>
  <si>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</si>
  <si>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</si>
  <si>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</si>
  <si>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</si>
  <si>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</si>
  <si>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</si>
  <si>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</si>
  <si>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</si>
  <si>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</si>
  <si>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</si>
  <si>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</si>
  <si>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</si>
  <si>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</si>
  <si>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</si>
  <si>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</si>
  <si>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</si>
  <si>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</si>
  <si>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</si>
  <si>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RD$458,209.36</t>
  </si>
  <si>
    <t>Nota: Reintegros por devolución de subsidio enfermedad común RD$482,123.75</t>
  </si>
  <si>
    <t xml:space="preserve">                                                                                                                      Analista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</si>
</sst>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2</xdr:row>
      <xdr:rowOff>152400</xdr:rowOff>
    </xdr:from>
    <xdr:to>
      <xdr:col>15</xdr:col>
      <xdr:colOff>609600</xdr:colOff>
      <xdr:row>6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192250" y="533400"/>
          <a:ext cx="19526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504826</xdr:colOff>
      <xdr:row>2</xdr:row>
      <xdr:rowOff>104775</xdr:rowOff>
    </xdr:from>
    <xdr:to>
      <xdr:col>15</xdr:col>
      <xdr:colOff>411637</xdr:colOff>
      <xdr:row>6</xdr:row>
      <xdr:rowOff>116475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4651" y="48577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89" workbookViewId="0">
      <selection activeCell="H60" sqref="H60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111</v>
      </c>
      <c r="D3" s="40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98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2024</v>
      </c>
      <c r="D5" s="47"/>
      <c r="E5" s="4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220213213</v>
      </c>
      <c r="E12" s="4">
        <f>E13+E14+E17</f>
        <v>227119746</v>
      </c>
      <c r="F12" s="8"/>
    </row>
    <row r="13" spans="2:16" x14ac:dyDescent="0.25">
      <c r="C13" s="5" t="s">
        <v>2</v>
      </c>
      <c r="D13" s="6">
        <v>169461162</v>
      </c>
      <c r="E13" s="6">
        <v>165054903.63999999</v>
      </c>
      <c r="F13" s="8"/>
    </row>
    <row r="14" spans="2:16" x14ac:dyDescent="0.25">
      <c r="C14" s="5" t="s">
        <v>3</v>
      </c>
      <c r="D14" s="6">
        <v>28002000</v>
      </c>
      <c r="E14" s="6">
        <v>40062784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22750051</v>
      </c>
      <c r="E17" s="6">
        <v>22002058.359999999</v>
      </c>
      <c r="F17" s="8"/>
    </row>
    <row r="18" spans="3:6" x14ac:dyDescent="0.25">
      <c r="C18" s="3" t="s">
        <v>7</v>
      </c>
      <c r="D18" s="4">
        <f>D19+D20+D21+D22+D23+D24+D25+D26+D27</f>
        <v>78140849</v>
      </c>
      <c r="E18" s="4">
        <f>E19+E20+E21+E22+E23+E24+E25+E26+E27</f>
        <v>92119855</v>
      </c>
      <c r="F18" s="8"/>
    </row>
    <row r="19" spans="3:6" x14ac:dyDescent="0.25">
      <c r="C19" s="5" t="s">
        <v>8</v>
      </c>
      <c r="D19" s="6">
        <v>23080000</v>
      </c>
      <c r="E19" s="6">
        <v>25248000</v>
      </c>
      <c r="F19" s="8"/>
    </row>
    <row r="20" spans="3:6" x14ac:dyDescent="0.25">
      <c r="C20" s="5" t="s">
        <v>9</v>
      </c>
      <c r="D20" s="6">
        <v>515000</v>
      </c>
      <c r="E20" s="6">
        <v>333600</v>
      </c>
      <c r="F20" s="8"/>
    </row>
    <row r="21" spans="3:6" x14ac:dyDescent="0.25">
      <c r="C21" s="5" t="s">
        <v>10</v>
      </c>
      <c r="D21" s="6">
        <v>4200000</v>
      </c>
      <c r="E21" s="6">
        <v>16610000</v>
      </c>
      <c r="F21" s="8"/>
    </row>
    <row r="22" spans="3:6" x14ac:dyDescent="0.25">
      <c r="C22" s="5" t="s">
        <v>11</v>
      </c>
      <c r="D22" s="6">
        <v>2720000</v>
      </c>
      <c r="E22" s="6">
        <v>2801500</v>
      </c>
      <c r="F22" s="8"/>
    </row>
    <row r="23" spans="3:6" x14ac:dyDescent="0.25">
      <c r="C23" s="5" t="s">
        <v>12</v>
      </c>
      <c r="D23" s="6">
        <v>22629000</v>
      </c>
      <c r="E23" s="6">
        <v>21089500</v>
      </c>
    </row>
    <row r="24" spans="3:6" x14ac:dyDescent="0.25">
      <c r="C24" s="5" t="s">
        <v>13</v>
      </c>
      <c r="D24" s="6">
        <v>13300000</v>
      </c>
      <c r="E24" s="6">
        <v>14207855</v>
      </c>
    </row>
    <row r="25" spans="3:6" x14ac:dyDescent="0.25">
      <c r="C25" s="5" t="s">
        <v>14</v>
      </c>
      <c r="D25" s="6">
        <v>4900000</v>
      </c>
      <c r="E25" s="6">
        <v>3632400</v>
      </c>
    </row>
    <row r="26" spans="3:6" x14ac:dyDescent="0.25">
      <c r="C26" s="5" t="s">
        <v>15</v>
      </c>
      <c r="D26" s="6">
        <v>3896849</v>
      </c>
      <c r="E26" s="6">
        <v>4475500</v>
      </c>
    </row>
    <row r="27" spans="3:6" x14ac:dyDescent="0.25">
      <c r="C27" s="5" t="s">
        <v>16</v>
      </c>
      <c r="D27" s="6">
        <v>2900000</v>
      </c>
      <c r="E27" s="6">
        <v>3721500</v>
      </c>
    </row>
    <row r="28" spans="3:6" x14ac:dyDescent="0.25">
      <c r="C28" s="3" t="s">
        <v>17</v>
      </c>
      <c r="D28" s="4">
        <f>D29+D30+D31+D32+D33+D34+D35+D37</f>
        <v>15617678</v>
      </c>
      <c r="E28" s="4">
        <f>E29+E30+E31+E32+E33+E34+E35+E37</f>
        <v>16520348</v>
      </c>
    </row>
    <row r="29" spans="3:6" x14ac:dyDescent="0.25">
      <c r="C29" s="5" t="s">
        <v>18</v>
      </c>
      <c r="D29" s="6">
        <v>665000</v>
      </c>
      <c r="E29" s="6">
        <v>876800</v>
      </c>
    </row>
    <row r="30" spans="3:6" x14ac:dyDescent="0.25">
      <c r="C30" s="5" t="s">
        <v>19</v>
      </c>
      <c r="D30" s="6">
        <v>448000</v>
      </c>
      <c r="E30" s="6">
        <v>366602</v>
      </c>
    </row>
    <row r="31" spans="3:6" x14ac:dyDescent="0.25">
      <c r="C31" s="5" t="s">
        <v>20</v>
      </c>
      <c r="D31" s="6">
        <v>675000</v>
      </c>
      <c r="E31" s="6">
        <v>509989</v>
      </c>
    </row>
    <row r="32" spans="3:6" x14ac:dyDescent="0.25">
      <c r="C32" s="5" t="s">
        <v>21</v>
      </c>
      <c r="D32" s="6">
        <v>10000</v>
      </c>
      <c r="E32" s="6">
        <v>4000</v>
      </c>
    </row>
    <row r="33" spans="3:5" x14ac:dyDescent="0.25">
      <c r="C33" s="5" t="s">
        <v>22</v>
      </c>
      <c r="D33" s="6">
        <v>700000</v>
      </c>
      <c r="E33" s="6">
        <v>519400</v>
      </c>
    </row>
    <row r="34" spans="3:5" x14ac:dyDescent="0.25">
      <c r="C34" s="5" t="s">
        <v>23</v>
      </c>
      <c r="D34" s="6">
        <v>119678</v>
      </c>
      <c r="E34" s="6">
        <v>259680</v>
      </c>
    </row>
    <row r="35" spans="3:5" x14ac:dyDescent="0.25">
      <c r="C35" s="5" t="s">
        <v>24</v>
      </c>
      <c r="D35" s="6">
        <v>11100000</v>
      </c>
      <c r="E35" s="6">
        <v>11467205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1900000</v>
      </c>
      <c r="E37" s="6">
        <v>2516672</v>
      </c>
    </row>
    <row r="38" spans="3:5" x14ac:dyDescent="0.25">
      <c r="C38" s="3" t="s">
        <v>27</v>
      </c>
      <c r="D38" s="4">
        <f>D39</f>
        <v>50000</v>
      </c>
      <c r="E38" s="4">
        <f>E39</f>
        <v>24000</v>
      </c>
    </row>
    <row r="39" spans="3:5" x14ac:dyDescent="0.25">
      <c r="C39" s="5" t="s">
        <v>28</v>
      </c>
      <c r="D39" s="6">
        <v>50000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3000000</v>
      </c>
      <c r="E54" s="4">
        <f>E55+E58+E59+E56+E62</f>
        <v>2434324</v>
      </c>
    </row>
    <row r="55" spans="3:5" x14ac:dyDescent="0.25">
      <c r="C55" s="5" t="s">
        <v>44</v>
      </c>
      <c r="D55" s="6">
        <v>1900000</v>
      </c>
      <c r="E55" s="6">
        <v>2083974</v>
      </c>
    </row>
    <row r="56" spans="3:5" x14ac:dyDescent="0.25">
      <c r="C56" s="5" t="s">
        <v>45</v>
      </c>
      <c r="D56" s="6"/>
      <c r="E56" s="6">
        <v>199350</v>
      </c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>
        <v>27000</v>
      </c>
    </row>
    <row r="59" spans="3:5" x14ac:dyDescent="0.25">
      <c r="C59" s="5" t="s">
        <v>48</v>
      </c>
      <c r="D59" s="6">
        <v>1100000</v>
      </c>
      <c r="E59" s="6">
        <v>90000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34000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317021740</v>
      </c>
      <c r="E85" s="23">
        <f>E54+E38+E28+E18+E12</f>
        <v>338218273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3"/>
  <sheetViews>
    <sheetView showGridLines="0" tabSelected="1" topLeftCell="B1" workbookViewId="0">
      <selection activeCell="F17" sqref="F17"/>
    </sheetView>
  </sheetViews>
  <sheetFormatPr defaultColWidth="11.42578125" defaultRowHeight="15" x14ac:dyDescent="0.25"/>
  <cols>
    <col min="1" max="1" width="47" customWidth="1"/>
    <col min="2" max="2" width="15.140625" customWidth="1"/>
    <col min="3" max="3" width="13.85546875" customWidth="1"/>
    <col min="4" max="4" width="12.85546875" customWidth="1"/>
    <col min="5" max="5" width="14.28515625" customWidth="1"/>
    <col min="6" max="8" width="13.28515625" customWidth="1"/>
    <col min="9" max="10" width="12.85546875" customWidth="1"/>
    <col min="11" max="11" width="13.140625" customWidth="1"/>
    <col min="12" max="13" width="12.85546875" customWidth="1"/>
    <col min="14" max="15" width="12.7109375" customWidth="1"/>
    <col min="16" max="16" width="14" customWidth="1"/>
  </cols>
  <sheetData>
    <row r="3" spans="1:17" ht="28.5" customHeight="1" x14ac:dyDescent="0.25">
      <c r="A3" s="52" t="s">
        <v>111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21" customHeight="1" x14ac:dyDescent="0.25">
      <c r="A4" s="54" t="s">
        <v>99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7" ht="15.75" x14ac:dyDescent="0.25">
      <c r="A5" s="46">
        <v>2024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.75" customHeight="1" x14ac:dyDescent="0.25">
      <c r="A6" s="41" t="s">
        <v>92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15.75" customHeight="1" x14ac:dyDescent="0.25">
      <c r="A7" s="42" t="s">
        <v>77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17" ht="25.5" customHeight="1" x14ac:dyDescent="0.25">
      <c r="A9" s="43" t="s">
        <v>66</v>
      </c>
      <c r="B9" s="44" t="s">
        <v>94</v>
      </c>
      <c r="C9" s="44" t="s">
        <v>93</v>
      </c>
      <c r="D9" s="49" t="s">
        <v>91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7" x14ac:dyDescent="0.25">
      <c r="A10" s="43"/>
      <c r="B10" s="45"/>
      <c r="C10" s="45"/>
      <c r="D10" s="15" t="s">
        <v>79</v>
      </c>
      <c r="E10" s="15" t="s">
        <v>80</v>
      </c>
      <c r="F10" s="15" t="s">
        <v>81</v>
      </c>
      <c r="G10" s="15" t="s">
        <v>82</v>
      </c>
      <c r="H10" s="16" t="s">
        <v>83</v>
      </c>
      <c r="I10" s="15" t="s">
        <v>84</v>
      </c>
      <c r="J10" s="16" t="s">
        <v>85</v>
      </c>
      <c r="K10" s="15" t="s">
        <v>86</v>
      </c>
      <c r="L10" s="15" t="s">
        <v>87</v>
      </c>
      <c r="M10" s="15" t="s">
        <v>88</v>
      </c>
      <c r="N10" s="15" t="s">
        <v>89</v>
      </c>
      <c r="O10" s="16" t="s">
        <v>90</v>
      </c>
      <c r="P10" s="15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25">
        <f>B13+B14+B17</f>
        <v>220213213</v>
      </c>
      <c r="C12" s="25">
        <f>C13+C14+C17</f>
        <v>227119746</v>
      </c>
      <c r="D12" s="25">
        <f t="shared" ref="D12:O12" si="0">D13+D14+D17</f>
        <v>14296930.99</v>
      </c>
      <c r="E12" s="25">
        <f t="shared" si="0"/>
        <v>14372212.880000001</v>
      </c>
      <c r="F12" s="25">
        <f t="shared" si="0"/>
        <v>15495728.01</v>
      </c>
      <c r="G12" s="25">
        <f t="shared" si="0"/>
        <v>14490865.289999999</v>
      </c>
      <c r="H12" s="25">
        <f t="shared" si="0"/>
        <v>26405869.960000001</v>
      </c>
      <c r="I12" s="25">
        <f t="shared" si="0"/>
        <v>14862186.59</v>
      </c>
      <c r="J12" s="25">
        <f t="shared" si="0"/>
        <v>14790923.1</v>
      </c>
      <c r="K12" s="25">
        <f t="shared" si="0"/>
        <v>14902826.799999999</v>
      </c>
      <c r="L12" s="25">
        <f t="shared" si="0"/>
        <v>14468897.75</v>
      </c>
      <c r="M12" s="25">
        <f t="shared" si="0"/>
        <v>28762097.880000003</v>
      </c>
      <c r="N12" s="25">
        <f t="shared" si="0"/>
        <v>27504141.890000001</v>
      </c>
      <c r="O12" s="25">
        <f t="shared" si="0"/>
        <v>27183245.23</v>
      </c>
      <c r="P12" s="25">
        <f>SUM(D12:O12)</f>
        <v>227535926.36999997</v>
      </c>
    </row>
    <row r="13" spans="1:17" x14ac:dyDescent="0.25">
      <c r="A13" s="5" t="s">
        <v>2</v>
      </c>
      <c r="B13" s="24">
        <f>145407162+6404000+12450000+3700000+1500000</f>
        <v>169461162</v>
      </c>
      <c r="C13" s="24">
        <v>165054902.74000001</v>
      </c>
      <c r="D13" s="24">
        <v>12143507.34</v>
      </c>
      <c r="E13" s="24">
        <f>11376807.09+827000</f>
        <v>12203807.09</v>
      </c>
      <c r="F13" s="24">
        <v>13399653.869999999</v>
      </c>
      <c r="G13" s="24">
        <f>11494685.07+563000+286558.37</f>
        <v>12344243.439999999</v>
      </c>
      <c r="H13" s="24">
        <f>11461835.99+400000+690642+297258+11464509.6</f>
        <v>24314245.59</v>
      </c>
      <c r="I13" s="24">
        <v>12681623.6</v>
      </c>
      <c r="J13" s="24">
        <v>12593683.199999999</v>
      </c>
      <c r="K13" s="24">
        <v>12717348.529999999</v>
      </c>
      <c r="L13" s="24">
        <v>12326589.609999999</v>
      </c>
      <c r="M13" s="24">
        <v>14426669.439999999</v>
      </c>
      <c r="N13" s="24">
        <f>12252772.94+64000+27333.33+12030802+963548.69</f>
        <v>25338456.960000001</v>
      </c>
      <c r="O13" s="24">
        <f>12219314.61+32000+36666.67+8000+75000+140286.11</f>
        <v>12511267.389999999</v>
      </c>
      <c r="P13" s="24">
        <f>SUM(D13:O13)</f>
        <v>177001096.06</v>
      </c>
    </row>
    <row r="14" spans="1:17" x14ac:dyDescent="0.25">
      <c r="A14" s="5" t="s">
        <v>3</v>
      </c>
      <c r="B14" s="24">
        <f>4002000+12000000+12000000</f>
        <v>28002000</v>
      </c>
      <c r="C14" s="24">
        <v>40062784.899999999</v>
      </c>
      <c r="D14" s="24">
        <v>333500</v>
      </c>
      <c r="E14" s="24">
        <v>333500</v>
      </c>
      <c r="F14" s="24">
        <v>333500</v>
      </c>
      <c r="G14" s="24">
        <v>333500</v>
      </c>
      <c r="H14" s="24">
        <v>308500</v>
      </c>
      <c r="I14" s="24">
        <v>308500</v>
      </c>
      <c r="J14" s="24">
        <v>333500</v>
      </c>
      <c r="K14" s="24">
        <v>333500</v>
      </c>
      <c r="L14" s="24">
        <v>288500</v>
      </c>
      <c r="M14" s="24">
        <v>12492399.27</v>
      </c>
      <c r="N14" s="24">
        <v>309500</v>
      </c>
      <c r="O14" s="24">
        <f>309500+12514874.42</f>
        <v>12824374.42</v>
      </c>
      <c r="P14" s="24">
        <f>SUM(D14:O14)</f>
        <v>28532773.689999998</v>
      </c>
    </row>
    <row r="15" spans="1:17" x14ac:dyDescent="0.25">
      <c r="A15" s="5" t="s">
        <v>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</row>
    <row r="16" spans="1:17" x14ac:dyDescent="0.25">
      <c r="A16" s="5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5" t="s">
        <v>6</v>
      </c>
      <c r="B17" s="24">
        <f>10570151+10854000+1325900</f>
        <v>22750051</v>
      </c>
      <c r="C17" s="24">
        <v>22002058.359999999</v>
      </c>
      <c r="D17" s="24">
        <v>1819923.65</v>
      </c>
      <c r="E17" s="24">
        <f>859409.67+866470.3+109025.82</f>
        <v>1834905.7900000003</v>
      </c>
      <c r="F17" s="24">
        <v>1762574.14</v>
      </c>
      <c r="G17" s="24">
        <f>849049.59+856095.62+107976.64</f>
        <v>1813121.8499999999</v>
      </c>
      <c r="H17" s="24">
        <f>835163.87+842190.36+105770.14</f>
        <v>1783124.3699999999</v>
      </c>
      <c r="I17" s="24">
        <v>1872062.99</v>
      </c>
      <c r="J17" s="24">
        <f>872482.14+879561.27+111696.49</f>
        <v>1863739.9000000001</v>
      </c>
      <c r="K17" s="24">
        <v>1851978.27</v>
      </c>
      <c r="L17" s="24">
        <v>1853808.14</v>
      </c>
      <c r="M17" s="24">
        <v>1843029.17</v>
      </c>
      <c r="N17" s="24">
        <f>868293.29+876431.54+111460.1</f>
        <v>1856184.9300000002</v>
      </c>
      <c r="O17" s="24">
        <f>864314.04+872446.66+110842.72</f>
        <v>1847603.4200000002</v>
      </c>
      <c r="P17" s="24">
        <f t="shared" ref="P17:P27" si="1">SUM(D17:O17)</f>
        <v>22002056.620000001</v>
      </c>
    </row>
    <row r="18" spans="1:16" x14ac:dyDescent="0.25">
      <c r="A18" s="3" t="s">
        <v>7</v>
      </c>
      <c r="B18" s="25">
        <f t="shared" ref="B18:G18" si="2">B19+B20+B21+B22+B23+B24+B25+B26+B27</f>
        <v>78140849</v>
      </c>
      <c r="C18" s="25">
        <f t="shared" si="2"/>
        <v>92119855</v>
      </c>
      <c r="D18" s="25">
        <f t="shared" si="2"/>
        <v>6620670.3200000003</v>
      </c>
      <c r="E18" s="25">
        <f t="shared" si="2"/>
        <v>4391463.0600000005</v>
      </c>
      <c r="F18" s="25">
        <f t="shared" si="2"/>
        <v>8824323.0700000003</v>
      </c>
      <c r="G18" s="25">
        <f t="shared" si="2"/>
        <v>7688170.1600000001</v>
      </c>
      <c r="H18" s="25">
        <f>H19+H20+H21+H22+H23+H24+H25+H26+H27</f>
        <v>5483939.25</v>
      </c>
      <c r="I18" s="25">
        <f>I19+I20+I21+I22+I23+I24+I25+I26+I27</f>
        <v>7848671.5499999998</v>
      </c>
      <c r="J18" s="25">
        <f>J19+J20+J21+J22+J23+J24+J25+J26+J27</f>
        <v>7113597.3099999996</v>
      </c>
      <c r="K18" s="25">
        <f>K19+K20+K21+K22+K23+K24+K25+K26+K27</f>
        <v>6608735.9630000005</v>
      </c>
      <c r="L18" s="25">
        <f>L19+L20+L21+L22+L23+L24+L25+L26+L27</f>
        <v>7080793.5300000003</v>
      </c>
      <c r="M18" s="25">
        <f t="shared" ref="M18" si="3">M19+M20+M21+M22+M23+M24+M25+M26</f>
        <v>5621676</v>
      </c>
      <c r="N18" s="25">
        <f>N19+N20+N21+N22+N23+N24+N25+N26+N27</f>
        <v>8704288.3499999996</v>
      </c>
      <c r="O18" s="25">
        <f>O19+O20+O21+O22+O23+O24+O25+O26+O27</f>
        <v>12900345.75</v>
      </c>
      <c r="P18" s="25">
        <f t="shared" si="1"/>
        <v>88886674.312999994</v>
      </c>
    </row>
    <row r="19" spans="1:16" x14ac:dyDescent="0.25">
      <c r="A19" s="5" t="s">
        <v>8</v>
      </c>
      <c r="B19" s="24">
        <v>23080000</v>
      </c>
      <c r="C19" s="24">
        <v>25248000</v>
      </c>
      <c r="D19" s="24">
        <v>2305139.54</v>
      </c>
      <c r="E19" s="24">
        <f>435773.34+200867.09+986583.16+572753.39</f>
        <v>2195976.98</v>
      </c>
      <c r="F19" s="24">
        <f>531894.62+219894.11+999645.05+574030.01</f>
        <v>2325463.79</v>
      </c>
      <c r="G19" s="24">
        <f>484997.82+212250.14+991064.55+603000.69</f>
        <v>2291313.2000000002</v>
      </c>
      <c r="H19" s="24">
        <f>474796.68+207121.11+993058.71+598636.33</f>
        <v>2273612.83</v>
      </c>
      <c r="I19" s="24">
        <v>2295791.36</v>
      </c>
      <c r="J19" s="24">
        <f>385113.19+181759.16+994111.87+621525.71</f>
        <v>2182509.9299999997</v>
      </c>
      <c r="K19" s="24">
        <v>2344086.4900000002</v>
      </c>
      <c r="L19" s="24">
        <v>2228402.77</v>
      </c>
      <c r="M19" s="24">
        <v>1808043.44</v>
      </c>
      <c r="N19" s="24">
        <f>183550.77+215848.78+922322.18+717506.65</f>
        <v>2039228.38</v>
      </c>
      <c r="O19" s="24">
        <f>714040.73+258888.03+617462.28+89147+141321.4</f>
        <v>1820859.44</v>
      </c>
      <c r="P19" s="24">
        <f t="shared" si="1"/>
        <v>26110428.149999999</v>
      </c>
    </row>
    <row r="20" spans="1:16" x14ac:dyDescent="0.25">
      <c r="A20" s="5" t="s">
        <v>9</v>
      </c>
      <c r="B20" s="24">
        <v>515000</v>
      </c>
      <c r="C20" s="24">
        <v>333600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18585</v>
      </c>
      <c r="M20" s="24">
        <v>0</v>
      </c>
      <c r="N20" s="24">
        <v>0</v>
      </c>
      <c r="O20" s="24">
        <v>82138.89</v>
      </c>
      <c r="P20" s="24">
        <f t="shared" si="1"/>
        <v>100723.89</v>
      </c>
    </row>
    <row r="21" spans="1:16" x14ac:dyDescent="0.25">
      <c r="A21" s="5" t="s">
        <v>10</v>
      </c>
      <c r="B21" s="24">
        <v>4200000</v>
      </c>
      <c r="C21" s="24">
        <v>16610000</v>
      </c>
      <c r="D21" s="24">
        <v>2686800</v>
      </c>
      <c r="E21" s="24">
        <v>1180200</v>
      </c>
      <c r="F21" s="24">
        <v>2909800</v>
      </c>
      <c r="G21" s="24">
        <f>879200+198000</f>
        <v>1077200</v>
      </c>
      <c r="H21" s="24">
        <v>0</v>
      </c>
      <c r="I21" s="24">
        <v>0</v>
      </c>
      <c r="J21" s="24">
        <v>2028795</v>
      </c>
      <c r="K21" s="24">
        <v>0</v>
      </c>
      <c r="L21" s="24">
        <v>157200</v>
      </c>
      <c r="M21" s="24">
        <v>57600</v>
      </c>
      <c r="N21" s="24">
        <v>2311700</v>
      </c>
      <c r="O21" s="24">
        <v>4516017.5</v>
      </c>
      <c r="P21" s="24">
        <f t="shared" si="1"/>
        <v>16925312.5</v>
      </c>
    </row>
    <row r="22" spans="1:16" x14ac:dyDescent="0.25">
      <c r="A22" s="5" t="s">
        <v>11</v>
      </c>
      <c r="B22" s="24">
        <v>2720000</v>
      </c>
      <c r="C22" s="24">
        <v>2801500</v>
      </c>
      <c r="D22" s="24">
        <v>0</v>
      </c>
      <c r="E22" s="24">
        <v>0</v>
      </c>
      <c r="F22" s="24">
        <v>0</v>
      </c>
      <c r="G22" s="24">
        <v>13000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54000</v>
      </c>
      <c r="O22" s="24">
        <f>428045.69+73870+19270</f>
        <v>521185.69</v>
      </c>
      <c r="P22" s="24">
        <f t="shared" si="1"/>
        <v>588185.68999999994</v>
      </c>
    </row>
    <row r="23" spans="1:16" x14ac:dyDescent="0.25">
      <c r="A23" s="5" t="s">
        <v>12</v>
      </c>
      <c r="B23" s="24">
        <v>22629000</v>
      </c>
      <c r="C23" s="24">
        <v>21089500</v>
      </c>
      <c r="D23" s="24">
        <v>1346926.08</v>
      </c>
      <c r="E23" s="24">
        <v>217739.5</v>
      </c>
      <c r="F23" s="24">
        <f>2205964.26+76517.1</f>
        <v>2282481.36</v>
      </c>
      <c r="G23" s="24">
        <v>1670527.88</v>
      </c>
      <c r="H23" s="24">
        <f>1320277.21+357549.12</f>
        <v>1677826.33</v>
      </c>
      <c r="I23" s="24">
        <v>2950844.98</v>
      </c>
      <c r="J23" s="24">
        <f>1320514.55+111850.43</f>
        <v>1432364.98</v>
      </c>
      <c r="K23" s="24">
        <v>2307019.81</v>
      </c>
      <c r="L23" s="24">
        <v>2634129.5499999998</v>
      </c>
      <c r="M23" s="24">
        <v>1405002.55</v>
      </c>
      <c r="N23" s="24">
        <f>1649809.97+84488</f>
        <v>1734297.97</v>
      </c>
      <c r="O23" s="24">
        <f>2345356.04+84488</f>
        <v>2429844.04</v>
      </c>
      <c r="P23" s="24">
        <f t="shared" si="1"/>
        <v>22089005.030000001</v>
      </c>
    </row>
    <row r="24" spans="1:16" x14ac:dyDescent="0.25">
      <c r="A24" s="5" t="s">
        <v>13</v>
      </c>
      <c r="B24" s="24">
        <v>13300000</v>
      </c>
      <c r="C24" s="24">
        <v>14207855</v>
      </c>
      <c r="D24" s="24">
        <v>0</v>
      </c>
      <c r="E24" s="24">
        <v>588468.36</v>
      </c>
      <c r="F24" s="24">
        <v>978800.4</v>
      </c>
      <c r="G24" s="24">
        <f>347489.18+1056336.4</f>
        <v>1403825.5799999998</v>
      </c>
      <c r="H24" s="24">
        <f>1047626.59+289347.5</f>
        <v>1336974.0899999999</v>
      </c>
      <c r="I24" s="24">
        <v>1105871.75</v>
      </c>
      <c r="J24" s="24">
        <v>1071583.1000000001</v>
      </c>
      <c r="K24" s="24">
        <v>1523758.37</v>
      </c>
      <c r="L24" s="24">
        <v>1475442.64</v>
      </c>
      <c r="M24" s="24">
        <v>1252702.54</v>
      </c>
      <c r="N24" s="24">
        <v>1225786.6399999999</v>
      </c>
      <c r="O24" s="24">
        <v>896377.46</v>
      </c>
      <c r="P24" s="24">
        <f t="shared" si="1"/>
        <v>12859590.93</v>
      </c>
    </row>
    <row r="25" spans="1:16" ht="45" x14ac:dyDescent="0.25">
      <c r="A25" s="29" t="s">
        <v>14</v>
      </c>
      <c r="B25" s="24">
        <v>4900000</v>
      </c>
      <c r="C25" s="24">
        <v>3632400</v>
      </c>
      <c r="D25" s="24">
        <v>0</v>
      </c>
      <c r="E25" s="24">
        <f>49135.2+54566.66</f>
        <v>103701.86</v>
      </c>
      <c r="F25" s="24">
        <v>0</v>
      </c>
      <c r="G25" s="24">
        <v>308853.2</v>
      </c>
      <c r="H25" s="24">
        <v>10384</v>
      </c>
      <c r="I25" s="24">
        <v>818779.89</v>
      </c>
      <c r="J25" s="24">
        <v>57741.33</v>
      </c>
      <c r="K25" s="24">
        <v>57741.332999999999</v>
      </c>
      <c r="L25" s="24">
        <v>322297.33</v>
      </c>
      <c r="M25" s="24">
        <v>285599.33</v>
      </c>
      <c r="N25" s="24">
        <v>385270</v>
      </c>
      <c r="O25" s="24">
        <f>450711.75+224839.72+57741.33+6900</f>
        <v>740192.79999999993</v>
      </c>
      <c r="P25" s="24">
        <f t="shared" si="1"/>
        <v>3090561.0729999999</v>
      </c>
    </row>
    <row r="26" spans="1:16" ht="30" x14ac:dyDescent="0.25">
      <c r="A26" s="29" t="s">
        <v>15</v>
      </c>
      <c r="B26" s="24">
        <v>3896849</v>
      </c>
      <c r="C26" s="24">
        <v>4475500</v>
      </c>
      <c r="D26" s="24">
        <v>0</v>
      </c>
      <c r="E26" s="24">
        <v>26786</v>
      </c>
      <c r="F26" s="24">
        <v>66000</v>
      </c>
      <c r="G26" s="24">
        <v>708000</v>
      </c>
      <c r="H26" s="24">
        <v>4602</v>
      </c>
      <c r="I26" s="24">
        <v>321508</v>
      </c>
      <c r="J26" s="24">
        <v>8614</v>
      </c>
      <c r="K26" s="24">
        <v>125230</v>
      </c>
      <c r="L26" s="24">
        <v>30962.26</v>
      </c>
      <c r="M26" s="24">
        <v>812728.14</v>
      </c>
      <c r="N26" s="24">
        <f>116230+373290</f>
        <v>489520</v>
      </c>
      <c r="O26" s="24">
        <f>18362.31+12900.04+28320+198000+1171872+17766</f>
        <v>1447220.35</v>
      </c>
      <c r="P26" s="24">
        <f t="shared" si="1"/>
        <v>4041170.75</v>
      </c>
    </row>
    <row r="27" spans="1:16" x14ac:dyDescent="0.25">
      <c r="A27" s="29" t="s">
        <v>16</v>
      </c>
      <c r="B27" s="24">
        <v>2900000</v>
      </c>
      <c r="C27" s="24">
        <v>3721500</v>
      </c>
      <c r="D27" s="24">
        <v>281804.7</v>
      </c>
      <c r="E27" s="24">
        <f>68819.96+9770.4</f>
        <v>78590.36</v>
      </c>
      <c r="F27" s="24">
        <v>261777.52</v>
      </c>
      <c r="G27" s="24">
        <f>157258.6+58191.7</f>
        <v>215450.3</v>
      </c>
      <c r="H27" s="24">
        <v>180540</v>
      </c>
      <c r="I27" s="24">
        <v>355875.57</v>
      </c>
      <c r="J27" s="24">
        <f>233694.97+98294</f>
        <v>331988.96999999997</v>
      </c>
      <c r="K27" s="24">
        <v>250899.96</v>
      </c>
      <c r="L27" s="24">
        <v>213773.98</v>
      </c>
      <c r="M27" s="24">
        <v>0</v>
      </c>
      <c r="N27" s="24">
        <v>464485.36</v>
      </c>
      <c r="O27" s="24">
        <f>326550.78+119958.8</f>
        <v>446509.58</v>
      </c>
      <c r="P27" s="24">
        <f t="shared" si="1"/>
        <v>3081696.3</v>
      </c>
    </row>
    <row r="28" spans="1:16" x14ac:dyDescent="0.25">
      <c r="A28" s="3" t="s">
        <v>17</v>
      </c>
      <c r="B28" s="25">
        <f>B29+B30+B31+B32+B33+B34+B35+B37</f>
        <v>15617678</v>
      </c>
      <c r="C28" s="25">
        <f>C29+C30+C31+C32+C33+C34+C35+C37</f>
        <v>16520348</v>
      </c>
      <c r="D28" s="25">
        <f t="shared" ref="D28:P28" si="4">D29+D30+D31+D32+D33+D34+D35+D37</f>
        <v>715604</v>
      </c>
      <c r="E28" s="25">
        <f t="shared" si="4"/>
        <v>2060669.4</v>
      </c>
      <c r="F28" s="25">
        <f t="shared" si="4"/>
        <v>195375.4</v>
      </c>
      <c r="G28" s="25">
        <f t="shared" si="4"/>
        <v>1282432.8799999999</v>
      </c>
      <c r="H28" s="25">
        <f t="shared" si="4"/>
        <v>1063414.23</v>
      </c>
      <c r="I28" s="25">
        <f t="shared" si="4"/>
        <v>2451261.69</v>
      </c>
      <c r="J28" s="25">
        <f t="shared" si="4"/>
        <v>955916.6</v>
      </c>
      <c r="K28" s="25">
        <f t="shared" si="4"/>
        <v>1020059.72</v>
      </c>
      <c r="L28" s="25">
        <f t="shared" si="4"/>
        <v>1033769.2100000001</v>
      </c>
      <c r="M28" s="25">
        <f t="shared" si="4"/>
        <v>86918</v>
      </c>
      <c r="N28" s="25">
        <f t="shared" si="4"/>
        <v>1994243.6</v>
      </c>
      <c r="O28" s="25">
        <f t="shared" si="4"/>
        <v>4481013.3199999994</v>
      </c>
      <c r="P28" s="25">
        <f t="shared" si="4"/>
        <v>17340678.049999997</v>
      </c>
    </row>
    <row r="29" spans="1:16" x14ac:dyDescent="0.25">
      <c r="A29" s="29" t="s">
        <v>18</v>
      </c>
      <c r="B29" s="24">
        <v>665000</v>
      </c>
      <c r="C29" s="24">
        <v>876800</v>
      </c>
      <c r="D29" s="24">
        <v>0</v>
      </c>
      <c r="E29" s="24">
        <f>10570+25623.2</f>
        <v>36193.199999999997</v>
      </c>
      <c r="F29" s="24">
        <v>11260</v>
      </c>
      <c r="G29" s="24">
        <v>97335.29</v>
      </c>
      <c r="H29" s="24">
        <f>8260+99125.66</f>
        <v>107385.66</v>
      </c>
      <c r="I29" s="24">
        <v>24523.599999999999</v>
      </c>
      <c r="J29" s="24">
        <f>12880+15422.6</f>
        <v>28302.6</v>
      </c>
      <c r="K29" s="24">
        <v>15889</v>
      </c>
      <c r="L29" s="24">
        <v>104911.63</v>
      </c>
      <c r="M29" s="24">
        <v>20700</v>
      </c>
      <c r="N29" s="24">
        <v>3304</v>
      </c>
      <c r="O29" s="24">
        <f>606213.97+14642+800</f>
        <v>621655.97</v>
      </c>
      <c r="P29" s="24">
        <f t="shared" ref="P29:P36" si="5">SUM(D29:O29)</f>
        <v>1071460.95</v>
      </c>
    </row>
    <row r="30" spans="1:16" x14ac:dyDescent="0.25">
      <c r="A30" s="29" t="s">
        <v>19</v>
      </c>
      <c r="B30" s="24">
        <v>448000</v>
      </c>
      <c r="C30" s="24">
        <v>366602</v>
      </c>
      <c r="D30" s="24">
        <v>0</v>
      </c>
      <c r="E30" s="24">
        <v>0</v>
      </c>
      <c r="F30" s="24">
        <v>184115.4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f>370+3183.11+1685</f>
        <v>5238.1100000000006</v>
      </c>
      <c r="P30" s="24">
        <f t="shared" si="5"/>
        <v>189353.51</v>
      </c>
    </row>
    <row r="31" spans="1:16" ht="30" x14ac:dyDescent="0.25">
      <c r="A31" s="29" t="s">
        <v>20</v>
      </c>
      <c r="B31" s="24">
        <v>675000</v>
      </c>
      <c r="C31" s="24">
        <v>509989</v>
      </c>
      <c r="D31" s="24">
        <v>0</v>
      </c>
      <c r="E31" s="24">
        <v>0</v>
      </c>
      <c r="F31" s="24">
        <v>0</v>
      </c>
      <c r="G31" s="24">
        <f>58882+159770.21</f>
        <v>218652.21</v>
      </c>
      <c r="H31" s="24">
        <v>0</v>
      </c>
      <c r="I31" s="24">
        <v>3450</v>
      </c>
      <c r="J31" s="24">
        <v>0</v>
      </c>
      <c r="K31" s="24">
        <v>0</v>
      </c>
      <c r="L31" s="24">
        <v>113006.38</v>
      </c>
      <c r="M31" s="24">
        <v>60294.28</v>
      </c>
      <c r="N31" s="24">
        <v>0</v>
      </c>
      <c r="O31" s="24">
        <f>649+94105.87+13418.3+5000</f>
        <v>113173.17</v>
      </c>
      <c r="P31" s="24">
        <f t="shared" si="5"/>
        <v>508576.04</v>
      </c>
    </row>
    <row r="32" spans="1:16" x14ac:dyDescent="0.25">
      <c r="A32" s="29" t="s">
        <v>21</v>
      </c>
      <c r="B32" s="24">
        <v>10000</v>
      </c>
      <c r="C32" s="24">
        <v>4000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0</v>
      </c>
    </row>
    <row r="33" spans="1:16" ht="30" x14ac:dyDescent="0.25">
      <c r="A33" s="29" t="s">
        <v>22</v>
      </c>
      <c r="B33" s="24">
        <v>700000</v>
      </c>
      <c r="C33" s="24">
        <v>519400</v>
      </c>
      <c r="D33" s="24">
        <v>0</v>
      </c>
      <c r="E33" s="24">
        <v>0</v>
      </c>
      <c r="F33" s="24">
        <v>0</v>
      </c>
      <c r="G33" s="24">
        <v>198633.65</v>
      </c>
      <c r="H33" s="24">
        <v>0</v>
      </c>
      <c r="I33" s="24">
        <v>0</v>
      </c>
      <c r="J33" s="24">
        <v>0</v>
      </c>
      <c r="K33" s="24">
        <v>134921.20000000001</v>
      </c>
      <c r="L33" s="24">
        <v>68149.16</v>
      </c>
      <c r="M33" s="24">
        <v>0</v>
      </c>
      <c r="N33" s="24">
        <v>0</v>
      </c>
      <c r="O33" s="24">
        <f>1107.36+65285.81</f>
        <v>66393.17</v>
      </c>
      <c r="P33" s="24">
        <f t="shared" si="5"/>
        <v>468097.18</v>
      </c>
    </row>
    <row r="34" spans="1:16" ht="30" x14ac:dyDescent="0.25">
      <c r="A34" s="29" t="s">
        <v>23</v>
      </c>
      <c r="B34" s="24">
        <v>119678</v>
      </c>
      <c r="C34" s="24">
        <v>259680</v>
      </c>
      <c r="D34" s="24">
        <v>0</v>
      </c>
      <c r="E34" s="24">
        <v>0</v>
      </c>
      <c r="F34" s="24">
        <v>0</v>
      </c>
      <c r="G34" s="24">
        <v>0</v>
      </c>
      <c r="H34" s="24">
        <v>3457.86</v>
      </c>
      <c r="I34" s="24">
        <v>908.6</v>
      </c>
      <c r="J34" s="24">
        <v>205320</v>
      </c>
      <c r="K34" s="24">
        <v>0</v>
      </c>
      <c r="L34" s="24">
        <v>0</v>
      </c>
      <c r="M34" s="24">
        <v>0</v>
      </c>
      <c r="N34" s="24">
        <v>0</v>
      </c>
      <c r="O34" s="24">
        <f>4902.18+150+390+2950+4198+13112.78+299.99+36534.62+1160.33+7686</f>
        <v>71383.900000000009</v>
      </c>
      <c r="P34" s="24">
        <f t="shared" si="5"/>
        <v>281070.36</v>
      </c>
    </row>
    <row r="35" spans="1:16" ht="30" x14ac:dyDescent="0.25">
      <c r="A35" s="29" t="s">
        <v>24</v>
      </c>
      <c r="B35" s="24">
        <v>11100000</v>
      </c>
      <c r="C35" s="24">
        <v>11467205</v>
      </c>
      <c r="D35" s="24">
        <v>715604</v>
      </c>
      <c r="E35" s="24">
        <v>1907604</v>
      </c>
      <c r="F35" s="24">
        <v>0</v>
      </c>
      <c r="G35" s="24">
        <v>686600</v>
      </c>
      <c r="H35" s="24">
        <v>698600</v>
      </c>
      <c r="I35" s="24">
        <v>2011533.98</v>
      </c>
      <c r="J35" s="24">
        <f>705500+16794</f>
        <v>722294</v>
      </c>
      <c r="K35" s="24">
        <v>702500</v>
      </c>
      <c r="L35" s="24">
        <v>681804</v>
      </c>
      <c r="M35" s="24">
        <v>0</v>
      </c>
      <c r="N35" s="24">
        <f>1400000+99941.6</f>
        <v>1499941.6</v>
      </c>
      <c r="O35" s="24">
        <f>2986294.8+4782+4193.17+9845.99+14091.28+4012+14964.6+2274+18448.78</f>
        <v>3058906.6199999996</v>
      </c>
      <c r="P35" s="24">
        <f t="shared" si="5"/>
        <v>12685388.199999999</v>
      </c>
    </row>
    <row r="36" spans="1:16" ht="30" x14ac:dyDescent="0.25">
      <c r="A36" s="29" t="s">
        <v>25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5"/>
        <v>0</v>
      </c>
    </row>
    <row r="37" spans="1:16" x14ac:dyDescent="0.25">
      <c r="A37" s="29" t="s">
        <v>26</v>
      </c>
      <c r="B37" s="24">
        <v>1900000</v>
      </c>
      <c r="C37" s="24">
        <v>2516672</v>
      </c>
      <c r="D37" s="24">
        <v>0</v>
      </c>
      <c r="E37" s="24">
        <f>23610.9+93261.3</f>
        <v>116872.20000000001</v>
      </c>
      <c r="F37" s="24">
        <v>0</v>
      </c>
      <c r="G37" s="24">
        <f>61505.73+19706</f>
        <v>81211.73000000001</v>
      </c>
      <c r="H37" s="24">
        <f>65466.4+11151+13715.99+163637.32</f>
        <v>253970.71000000002</v>
      </c>
      <c r="I37" s="24">
        <v>410845.51</v>
      </c>
      <c r="J37" s="24">
        <v>0</v>
      </c>
      <c r="K37" s="24">
        <v>166749.51999999999</v>
      </c>
      <c r="L37" s="24">
        <v>65898.039999999994</v>
      </c>
      <c r="M37" s="24">
        <v>5923.72</v>
      </c>
      <c r="N37" s="24">
        <f>17700+23128+450170</f>
        <v>490998</v>
      </c>
      <c r="O37" s="24">
        <f>95745.68+60266.66+2080.01+18158.78+118463.8+5566.39+8995.14+226125.92+7798+1062</f>
        <v>544262.38</v>
      </c>
      <c r="P37" s="24">
        <f>SUM(D37:O37)</f>
        <v>2136731.81</v>
      </c>
    </row>
    <row r="38" spans="1:16" x14ac:dyDescent="0.25">
      <c r="A38" s="3" t="s">
        <v>27</v>
      </c>
      <c r="B38" s="25">
        <f>B39</f>
        <v>50000</v>
      </c>
      <c r="C38" s="25">
        <f>C39</f>
        <v>24000</v>
      </c>
      <c r="D38" s="25">
        <f t="shared" ref="D38:P38" si="6">D39</f>
        <v>0</v>
      </c>
      <c r="E38" s="25">
        <f t="shared" si="6"/>
        <v>0</v>
      </c>
      <c r="F38" s="25">
        <f t="shared" si="6"/>
        <v>24000</v>
      </c>
      <c r="G38" s="25">
        <f t="shared" si="6"/>
        <v>0</v>
      </c>
      <c r="H38" s="25">
        <f t="shared" si="6"/>
        <v>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24000</v>
      </c>
    </row>
    <row r="39" spans="1:16" ht="30" x14ac:dyDescent="0.25">
      <c r="A39" s="29" t="s">
        <v>28</v>
      </c>
      <c r="B39" s="24">
        <v>50000</v>
      </c>
      <c r="C39" s="24">
        <v>24000</v>
      </c>
      <c r="D39" s="24">
        <v>0</v>
      </c>
      <c r="E39" s="24">
        <v>0</v>
      </c>
      <c r="F39" s="24">
        <v>24000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>SUM(D39:O39)</f>
        <v>24000</v>
      </c>
    </row>
    <row r="40" spans="1:16" ht="30" x14ac:dyDescent="0.25">
      <c r="A40" s="29" t="s">
        <v>29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30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ht="30" x14ac:dyDescent="0.25">
      <c r="A43" s="29" t="s">
        <v>32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29" t="s">
        <v>33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30" x14ac:dyDescent="0.25">
      <c r="A45" s="29" t="s">
        <v>34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ht="30" x14ac:dyDescent="0.25">
      <c r="A46" s="29" t="s">
        <v>35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x14ac:dyDescent="0.25">
      <c r="A47" s="3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30" x14ac:dyDescent="0.25">
      <c r="A48" s="29" t="s">
        <v>37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38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39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ht="30" x14ac:dyDescent="0.25">
      <c r="A51" s="29" t="s">
        <v>40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ht="30" x14ac:dyDescent="0.25">
      <c r="A52" s="29" t="s">
        <v>41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ht="30" x14ac:dyDescent="0.25">
      <c r="A53" s="29" t="s">
        <v>42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x14ac:dyDescent="0.25">
      <c r="A54" s="3" t="s">
        <v>43</v>
      </c>
      <c r="B54" s="25">
        <f>B55+B58+B59</f>
        <v>3000000</v>
      </c>
      <c r="C54" s="25">
        <f>C55+C58+C59+C56+C62</f>
        <v>2434324</v>
      </c>
      <c r="D54" s="25">
        <f>D55+D58+D59</f>
        <v>0</v>
      </c>
      <c r="E54" s="25">
        <f>E55+E58+E59</f>
        <v>0</v>
      </c>
      <c r="F54" s="25">
        <f>F55+F58+F59</f>
        <v>0</v>
      </c>
      <c r="G54" s="25">
        <f>G55+G58+G59</f>
        <v>0</v>
      </c>
      <c r="H54" s="25">
        <f>H56+H55</f>
        <v>94532.61</v>
      </c>
      <c r="I54" s="25">
        <f t="shared" ref="I54:M54" si="7">I55+I58+I59</f>
        <v>40374.540000000008</v>
      </c>
      <c r="J54" s="25">
        <f t="shared" si="7"/>
        <v>0</v>
      </c>
      <c r="K54" s="25">
        <f t="shared" si="7"/>
        <v>125731.61</v>
      </c>
      <c r="L54" s="25">
        <f>L55+L58+L59+L56</f>
        <v>110936.52</v>
      </c>
      <c r="M54" s="25">
        <f t="shared" si="7"/>
        <v>95748.01</v>
      </c>
      <c r="N54" s="25">
        <f>N55+N58+N59+N56+N62</f>
        <v>66884</v>
      </c>
      <c r="O54" s="25">
        <f>O55+O58+O59+O56</f>
        <v>858995.19999999995</v>
      </c>
      <c r="P54" s="25">
        <f>SUM(D54:O54)</f>
        <v>1393202.49</v>
      </c>
    </row>
    <row r="55" spans="1:16" x14ac:dyDescent="0.25">
      <c r="A55" s="29" t="s">
        <v>44</v>
      </c>
      <c r="B55" s="24">
        <v>1900000</v>
      </c>
      <c r="C55" s="24">
        <v>2083974</v>
      </c>
      <c r="D55" s="24">
        <v>0</v>
      </c>
      <c r="E55" s="24">
        <v>0</v>
      </c>
      <c r="F55" s="24">
        <v>0</v>
      </c>
      <c r="G55" s="24">
        <v>0</v>
      </c>
      <c r="H55" s="24">
        <f>52906+32726.61</f>
        <v>85632.61</v>
      </c>
      <c r="I55" s="24">
        <v>8685</v>
      </c>
      <c r="J55" s="24">
        <v>0</v>
      </c>
      <c r="K55" s="24">
        <v>125731.61</v>
      </c>
      <c r="L55" s="24">
        <v>0</v>
      </c>
      <c r="M55" s="24">
        <v>95748.01</v>
      </c>
      <c r="N55" s="24">
        <v>0</v>
      </c>
      <c r="O55" s="24">
        <f>639900.45+141187.14</f>
        <v>781087.59</v>
      </c>
      <c r="P55" s="24">
        <f>SUM(D55:O55)</f>
        <v>1096884.8199999998</v>
      </c>
    </row>
    <row r="56" spans="1:16" ht="30" x14ac:dyDescent="0.25">
      <c r="A56" s="29" t="s">
        <v>45</v>
      </c>
      <c r="B56" s="24">
        <v>0</v>
      </c>
      <c r="C56" s="24">
        <v>199350</v>
      </c>
      <c r="D56" s="24">
        <v>0</v>
      </c>
      <c r="E56" s="24">
        <v>0</v>
      </c>
      <c r="F56" s="24">
        <v>0</v>
      </c>
      <c r="G56" s="24">
        <v>0</v>
      </c>
      <c r="H56" s="24">
        <v>8900</v>
      </c>
      <c r="I56" s="24">
        <v>0</v>
      </c>
      <c r="J56" s="24">
        <v>0</v>
      </c>
      <c r="K56" s="24">
        <v>0</v>
      </c>
      <c r="L56" s="24">
        <v>110936.52</v>
      </c>
      <c r="M56" s="24">
        <v>0</v>
      </c>
      <c r="N56" s="24">
        <v>32900</v>
      </c>
      <c r="O56" s="24">
        <v>1258.3499999999999</v>
      </c>
      <c r="P56" s="24">
        <f>SUM(D56:O56)</f>
        <v>153994.87000000002</v>
      </c>
    </row>
    <row r="57" spans="1:16" ht="30" x14ac:dyDescent="0.25">
      <c r="A57" s="29" t="s">
        <v>46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8">SUM(D57:O57)</f>
        <v>0</v>
      </c>
    </row>
    <row r="58" spans="1:16" ht="30" x14ac:dyDescent="0.25">
      <c r="A58" s="29" t="s">
        <v>47</v>
      </c>
      <c r="B58" s="24">
        <v>0</v>
      </c>
      <c r="C58" s="24">
        <v>27000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26397.24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8"/>
        <v>26397.24</v>
      </c>
    </row>
    <row r="59" spans="1:16" ht="30" x14ac:dyDescent="0.25">
      <c r="A59" s="29" t="s">
        <v>48</v>
      </c>
      <c r="B59" s="24">
        <v>1100000</v>
      </c>
      <c r="C59" s="24">
        <v>90000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5292.3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76649.259999999995</v>
      </c>
      <c r="P59" s="24">
        <f t="shared" si="8"/>
        <v>81941.56</v>
      </c>
    </row>
    <row r="60" spans="1:16" x14ac:dyDescent="0.25">
      <c r="A60" s="29" t="s">
        <v>49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29" t="s">
        <v>50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29" t="s">
        <v>51</v>
      </c>
      <c r="B62" s="24">
        <v>0</v>
      </c>
      <c r="C62" s="24">
        <v>34000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33984</v>
      </c>
      <c r="O62" s="24">
        <v>0</v>
      </c>
      <c r="P62" s="24">
        <v>0</v>
      </c>
    </row>
    <row r="63" spans="1:16" ht="30" x14ac:dyDescent="0.25">
      <c r="A63" s="29" t="s">
        <v>52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3" t="s">
        <v>53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29" t="s">
        <v>54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29" t="s">
        <v>55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56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ht="45" x14ac:dyDescent="0.25">
      <c r="A68" s="29" t="s">
        <v>57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x14ac:dyDescent="0.25">
      <c r="A69" s="3" t="s">
        <v>58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29" t="s">
        <v>59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ht="30" x14ac:dyDescent="0.25">
      <c r="A71" s="29" t="s">
        <v>60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3" t="s">
        <v>61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ht="30" x14ac:dyDescent="0.25">
      <c r="A73" s="29" t="s">
        <v>62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30" x14ac:dyDescent="0.25">
      <c r="A74" s="29" t="s">
        <v>63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ht="30" x14ac:dyDescent="0.25">
      <c r="A75" s="29" t="s">
        <v>64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x14ac:dyDescent="0.25">
      <c r="A76" s="1" t="s">
        <v>67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5">
      <c r="A77" s="3" t="s">
        <v>68</v>
      </c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ht="30" x14ac:dyDescent="0.25">
      <c r="A78" s="29" t="s">
        <v>69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ht="30" x14ac:dyDescent="0.25">
      <c r="A79" s="29" t="s">
        <v>70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3" t="s">
        <v>71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A81" s="29" t="s">
        <v>72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ht="30" x14ac:dyDescent="0.25">
      <c r="A82" s="29" t="s">
        <v>73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x14ac:dyDescent="0.25">
      <c r="A83" s="3" t="s">
        <v>74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16" x14ac:dyDescent="0.25">
      <c r="A84" s="5" t="s">
        <v>75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</row>
    <row r="85" spans="1:16" x14ac:dyDescent="0.25">
      <c r="A85" s="9" t="s">
        <v>65</v>
      </c>
      <c r="B85" s="28">
        <f>B54+B38+B28+B18+B12</f>
        <v>317021740</v>
      </c>
      <c r="C85" s="28">
        <f>C54+C38+C28+C18+C12</f>
        <v>338218273</v>
      </c>
      <c r="D85" s="28">
        <f t="shared" ref="D85:P85" si="9">D54+D38+D28+D18+D12</f>
        <v>21633205.310000002</v>
      </c>
      <c r="E85" s="28">
        <f t="shared" si="9"/>
        <v>20824345.340000004</v>
      </c>
      <c r="F85" s="28">
        <f t="shared" si="9"/>
        <v>24539426.48</v>
      </c>
      <c r="G85" s="28">
        <f t="shared" si="9"/>
        <v>23461468.329999998</v>
      </c>
      <c r="H85" s="28">
        <f t="shared" si="9"/>
        <v>33047756.050000001</v>
      </c>
      <c r="I85" s="28">
        <f t="shared" si="9"/>
        <v>25202494.369999997</v>
      </c>
      <c r="J85" s="28">
        <f t="shared" si="9"/>
        <v>22860437.009999998</v>
      </c>
      <c r="K85" s="28">
        <f t="shared" si="9"/>
        <v>22657354.092999998</v>
      </c>
      <c r="L85" s="28">
        <f t="shared" si="9"/>
        <v>22694397.009999998</v>
      </c>
      <c r="M85" s="28">
        <f t="shared" si="9"/>
        <v>34566439.890000001</v>
      </c>
      <c r="N85" s="28">
        <f t="shared" si="9"/>
        <v>38269557.840000004</v>
      </c>
      <c r="O85" s="28">
        <f t="shared" si="9"/>
        <v>45423599.5</v>
      </c>
      <c r="P85" s="28">
        <f t="shared" si="9"/>
        <v>335180481.22299993</v>
      </c>
    </row>
    <row r="86" spans="1:16" x14ac:dyDescent="0.25">
      <c r="A86" s="37" t="s">
        <v>113</v>
      </c>
    </row>
    <row r="88" spans="1:16" ht="18.75" x14ac:dyDescent="0.3">
      <c r="A88" s="31"/>
      <c r="B88" s="31" t="s">
        <v>101</v>
      </c>
      <c r="C88" s="30"/>
      <c r="D88" s="30"/>
      <c r="E88" s="30"/>
      <c r="F88" s="31" t="s">
        <v>102</v>
      </c>
      <c r="H88" s="32"/>
      <c r="J88" s="33"/>
      <c r="K88" s="30"/>
    </row>
    <row r="89" spans="1:16" ht="37.5" customHeight="1" x14ac:dyDescent="0.3">
      <c r="A89" s="34"/>
      <c r="B89" s="34" t="s">
        <v>103</v>
      </c>
      <c r="C89" s="32"/>
      <c r="D89" s="30"/>
      <c r="E89" s="30"/>
      <c r="F89" s="34" t="s">
        <v>103</v>
      </c>
      <c r="H89" s="34"/>
      <c r="I89" s="30"/>
      <c r="J89" s="30"/>
      <c r="K89" s="30"/>
    </row>
    <row r="90" spans="1:16" ht="18.75" x14ac:dyDescent="0.3">
      <c r="A90" s="32"/>
      <c r="B90" s="32" t="s">
        <v>104</v>
      </c>
      <c r="C90" s="32"/>
      <c r="D90" s="30"/>
      <c r="E90" s="30"/>
      <c r="F90" s="32" t="s">
        <v>105</v>
      </c>
      <c r="G90" s="48" t="s">
        <v>107</v>
      </c>
      <c r="H90" s="48"/>
      <c r="I90" s="48"/>
      <c r="J90" s="48"/>
      <c r="K90" s="30"/>
    </row>
    <row r="91" spans="1:16" s="39" customFormat="1" ht="15.75" x14ac:dyDescent="0.25">
      <c r="A91" s="38"/>
      <c r="B91" s="38" t="s">
        <v>114</v>
      </c>
      <c r="C91" s="38"/>
      <c r="F91" s="38" t="s">
        <v>108</v>
      </c>
      <c r="H91" s="38"/>
    </row>
    <row r="92" spans="1:16" ht="18.75" x14ac:dyDescent="0.3">
      <c r="D92" s="30"/>
      <c r="E92" s="30"/>
      <c r="F92" s="30"/>
      <c r="H92" s="30"/>
      <c r="I92" s="30"/>
      <c r="J92" s="30"/>
      <c r="K92" s="30"/>
    </row>
    <row r="93" spans="1:16" ht="18.75" x14ac:dyDescent="0.25">
      <c r="B93" s="32"/>
    </row>
  </sheetData>
  <mergeCells count="10">
    <mergeCell ref="G90:J90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" right="0" top="0.19685039370078741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125" zoomScaleNormal="100" workbookViewId="0">
      <selection activeCell="O47" sqref="O47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2" t="s">
        <v>111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21" customHeight="1" x14ac:dyDescent="0.25">
      <c r="A3" s="54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.75" x14ac:dyDescent="0.25">
      <c r="A4" s="46">
        <v>2024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14296930.99</v>
      </c>
      <c r="C10" s="25">
        <f t="shared" ref="C10:M10" si="0">C11+C12+C15</f>
        <v>14372212.879999999</v>
      </c>
      <c r="D10" s="25">
        <f t="shared" si="0"/>
        <v>15495728.01</v>
      </c>
      <c r="E10" s="25">
        <f t="shared" si="0"/>
        <v>14490865.289999999</v>
      </c>
      <c r="F10" s="25">
        <f t="shared" si="0"/>
        <v>26405869.960000001</v>
      </c>
      <c r="G10" s="25">
        <f t="shared" si="0"/>
        <v>14862186.59</v>
      </c>
      <c r="H10" s="25">
        <f t="shared" si="0"/>
        <v>14790923.1</v>
      </c>
      <c r="I10" s="25">
        <f>I11+I12+I15</f>
        <v>14902826.799999999</v>
      </c>
      <c r="J10" s="25">
        <f t="shared" si="0"/>
        <v>14468897.75</v>
      </c>
      <c r="K10" s="25">
        <f t="shared" si="0"/>
        <v>28762097.879999999</v>
      </c>
      <c r="L10" s="25">
        <f t="shared" si="0"/>
        <v>27504141.890000001</v>
      </c>
      <c r="M10" s="25">
        <f t="shared" si="0"/>
        <v>27183245.230000004</v>
      </c>
      <c r="N10" s="25">
        <f>SUM(B10:M10)</f>
        <v>227535926.37</v>
      </c>
    </row>
    <row r="11" spans="1:15" ht="17.25" customHeight="1" x14ac:dyDescent="0.25">
      <c r="A11" s="5" t="s">
        <v>2</v>
      </c>
      <c r="B11" s="24">
        <v>12143507.34</v>
      </c>
      <c r="C11" s="24">
        <v>12203807.09</v>
      </c>
      <c r="D11" s="24">
        <f>11075307.09+660500+918000+745846.78</f>
        <v>13399653.869999999</v>
      </c>
      <c r="E11" s="24">
        <v>12344243.439999999</v>
      </c>
      <c r="F11" s="24">
        <v>24314245.59</v>
      </c>
      <c r="G11" s="24">
        <f>11954420.44+490000+57750+179453.16</f>
        <v>12681623.6</v>
      </c>
      <c r="H11" s="24">
        <v>12593683.199999999</v>
      </c>
      <c r="I11" s="24">
        <v>12717348.529999999</v>
      </c>
      <c r="J11" s="24">
        <v>12326589.609999999</v>
      </c>
      <c r="K11" s="24">
        <f>12191064.61+67000+80011.66+1736224+352369.17</f>
        <v>14426669.439999999</v>
      </c>
      <c r="L11" s="24">
        <v>25338456.960000001</v>
      </c>
      <c r="M11" s="24">
        <v>12511267.390000001</v>
      </c>
      <c r="N11" s="24">
        <f>SUM(B11:M11)</f>
        <v>177001096.06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308500</v>
      </c>
      <c r="G12" s="24">
        <v>308500</v>
      </c>
      <c r="H12" s="24">
        <v>333500</v>
      </c>
      <c r="I12" s="24">
        <v>333500</v>
      </c>
      <c r="J12" s="24">
        <v>288500</v>
      </c>
      <c r="K12" s="24">
        <f>313700+12178699.27</f>
        <v>12492399.27</v>
      </c>
      <c r="L12" s="24">
        <v>309500</v>
      </c>
      <c r="M12" s="24">
        <v>12824374.42</v>
      </c>
      <c r="N12" s="24">
        <f>SUM(B12:M12)</f>
        <v>28532773.689999998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1819923.65</v>
      </c>
      <c r="C15" s="24">
        <v>1834905.79</v>
      </c>
      <c r="D15" s="24">
        <f>825129.52+833242.3+104202.32</f>
        <v>1762574.1400000001</v>
      </c>
      <c r="E15" s="24">
        <v>1813121.85</v>
      </c>
      <c r="F15" s="24">
        <v>1783124.37</v>
      </c>
      <c r="G15" s="24">
        <f>876469.07+883553.85+112040.07</f>
        <v>1872062.99</v>
      </c>
      <c r="H15" s="24">
        <v>1863739.9</v>
      </c>
      <c r="I15" s="24">
        <v>1851978.27</v>
      </c>
      <c r="J15" s="24">
        <v>1853808.14</v>
      </c>
      <c r="K15" s="24">
        <f>862192.95+870322.58+110513.64</f>
        <v>1843029.1699999997</v>
      </c>
      <c r="L15" s="24">
        <v>1856184.93</v>
      </c>
      <c r="M15" s="24">
        <v>1847603.42</v>
      </c>
      <c r="N15" s="24">
        <f>SUM(B15:M15)</f>
        <v>22002056.619999997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6620670.3200000003</v>
      </c>
      <c r="C16" s="25">
        <f t="shared" si="1"/>
        <v>4391463.0600000005</v>
      </c>
      <c r="D16" s="25">
        <f t="shared" si="1"/>
        <v>8824323.0700000003</v>
      </c>
      <c r="E16" s="25">
        <f t="shared" si="1"/>
        <v>7688170.1600000001</v>
      </c>
      <c r="F16" s="25">
        <f t="shared" si="1"/>
        <v>5483939.25</v>
      </c>
      <c r="G16" s="25">
        <f>G17+G18+G19+G20+G21+G22+G23+G24+G25</f>
        <v>7848671.5499999998</v>
      </c>
      <c r="H16" s="25">
        <f t="shared" si="1"/>
        <v>7113597.3099999996</v>
      </c>
      <c r="I16" s="25">
        <f t="shared" si="1"/>
        <v>6608735.9600000009</v>
      </c>
      <c r="J16" s="25">
        <f>J17+J18+J19+J20+J21+J22+J23+J24+J25</f>
        <v>7080793.5300000003</v>
      </c>
      <c r="K16" s="25">
        <f t="shared" ref="K16" si="2">K17+K18+K19+K20+K21+K22+K23+K24</f>
        <v>5621676</v>
      </c>
      <c r="L16" s="25">
        <f>L17+L18+L19+L20+L21+L22+L23+L24+L25</f>
        <v>8704288.3499999996</v>
      </c>
      <c r="M16" s="25">
        <f>M17+M18+M19+M20+M21+M22+M23+M24+M25</f>
        <v>12900345.75</v>
      </c>
      <c r="N16" s="25">
        <f>N17+N18+N19+N20+N21+N22+N23+N24+N25</f>
        <v>88886674.309999987</v>
      </c>
    </row>
    <row r="17" spans="1:14" ht="17.25" customHeight="1" x14ac:dyDescent="0.25">
      <c r="A17" s="5" t="s">
        <v>8</v>
      </c>
      <c r="B17" s="24">
        <v>2305139.54</v>
      </c>
      <c r="C17" s="24">
        <v>2195976.98</v>
      </c>
      <c r="D17" s="24">
        <f>531894.62+219894.11+999645.05+574030.01</f>
        <v>2325463.79</v>
      </c>
      <c r="E17" s="24">
        <v>2291313.2000000002</v>
      </c>
      <c r="F17" s="24">
        <f>474796.68+207121.11+993058.71+598636.33</f>
        <v>2273612.83</v>
      </c>
      <c r="G17" s="24">
        <f>476705.04+203644.1+993567.39+621874.83</f>
        <v>2295791.36</v>
      </c>
      <c r="H17" s="24">
        <v>2182509.9300000002</v>
      </c>
      <c r="I17" s="24">
        <v>2344086.4900000002</v>
      </c>
      <c r="J17" s="24">
        <v>2228402.77</v>
      </c>
      <c r="K17" s="24">
        <f>42884.77+173908.96+940070.66+651179.05</f>
        <v>1808043.4400000002</v>
      </c>
      <c r="L17" s="24">
        <v>2039228.38</v>
      </c>
      <c r="M17" s="24">
        <v>1820859.44</v>
      </c>
      <c r="N17" s="24">
        <f>SUM(B17:M17)</f>
        <v>26110428.149999999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18585</v>
      </c>
      <c r="K18" s="24">
        <v>0</v>
      </c>
      <c r="L18" s="24">
        <v>0</v>
      </c>
      <c r="M18" s="24">
        <v>82138.89</v>
      </c>
      <c r="N18" s="24">
        <f t="shared" ref="N18:N23" si="3">SUM(B18:M18)</f>
        <v>100723.89</v>
      </c>
    </row>
    <row r="19" spans="1:14" ht="17.25" customHeight="1" x14ac:dyDescent="0.25">
      <c r="A19" s="5" t="s">
        <v>10</v>
      </c>
      <c r="B19" s="24">
        <v>2686800</v>
      </c>
      <c r="C19" s="24">
        <v>1180200</v>
      </c>
      <c r="D19" s="24">
        <v>2909800</v>
      </c>
      <c r="E19" s="24">
        <v>1077200</v>
      </c>
      <c r="F19" s="24">
        <v>0</v>
      </c>
      <c r="G19" s="24">
        <v>0</v>
      </c>
      <c r="H19" s="24">
        <v>2028795</v>
      </c>
      <c r="I19" s="24">
        <v>0</v>
      </c>
      <c r="J19" s="24">
        <v>157200</v>
      </c>
      <c r="K19" s="24">
        <v>57600</v>
      </c>
      <c r="L19" s="24">
        <v>2311700</v>
      </c>
      <c r="M19" s="24">
        <v>4516017.5</v>
      </c>
      <c r="N19" s="24">
        <f t="shared" si="3"/>
        <v>16925312.5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13000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54000</v>
      </c>
      <c r="M20" s="24">
        <v>521185.69</v>
      </c>
      <c r="N20" s="24">
        <f t="shared" si="3"/>
        <v>588185.68999999994</v>
      </c>
    </row>
    <row r="21" spans="1:14" ht="17.25" customHeight="1" x14ac:dyDescent="0.25">
      <c r="A21" s="5" t="s">
        <v>12</v>
      </c>
      <c r="B21" s="24">
        <v>0</v>
      </c>
      <c r="C21" s="24">
        <v>217739.5</v>
      </c>
      <c r="D21" s="24">
        <f>2205964.26+76517.1</f>
        <v>2282481.36</v>
      </c>
      <c r="E21" s="24">
        <v>1670527.88</v>
      </c>
      <c r="F21" s="24">
        <v>1677826.33</v>
      </c>
      <c r="G21" s="24">
        <v>2950844.98</v>
      </c>
      <c r="H21" s="24">
        <v>1432364.98</v>
      </c>
      <c r="I21" s="24">
        <v>2307019.81</v>
      </c>
      <c r="J21" s="24">
        <v>2634129.5499999998</v>
      </c>
      <c r="K21" s="24">
        <f>1320514.55+84488</f>
        <v>1405002.55</v>
      </c>
      <c r="L21" s="24">
        <v>1734297.97</v>
      </c>
      <c r="M21" s="24">
        <v>2429844.04</v>
      </c>
      <c r="N21" s="24">
        <f t="shared" si="3"/>
        <v>20742078.949999999</v>
      </c>
    </row>
    <row r="22" spans="1:14" ht="17.25" customHeight="1" x14ac:dyDescent="0.25">
      <c r="A22" s="5" t="s">
        <v>13</v>
      </c>
      <c r="B22" s="24">
        <v>1346926.08</v>
      </c>
      <c r="C22" s="24">
        <v>588468.36</v>
      </c>
      <c r="D22" s="24">
        <v>978800.4</v>
      </c>
      <c r="E22" s="24">
        <v>1403825.58</v>
      </c>
      <c r="F22" s="24">
        <v>1336974.0900000001</v>
      </c>
      <c r="G22" s="24">
        <v>1105871.75</v>
      </c>
      <c r="H22" s="24">
        <v>1071583.1000000001</v>
      </c>
      <c r="I22" s="24">
        <v>1523758.37</v>
      </c>
      <c r="J22" s="24">
        <v>1475442.64</v>
      </c>
      <c r="K22" s="24">
        <v>1252702.54</v>
      </c>
      <c r="L22" s="24">
        <v>1225786.6399999999</v>
      </c>
      <c r="M22" s="24">
        <v>896377.46</v>
      </c>
      <c r="N22" s="24">
        <f t="shared" si="3"/>
        <v>14206517.010000002</v>
      </c>
    </row>
    <row r="23" spans="1:14" ht="27" customHeight="1" x14ac:dyDescent="0.25">
      <c r="A23" s="29" t="s">
        <v>14</v>
      </c>
      <c r="B23" s="24">
        <v>0</v>
      </c>
      <c r="C23" s="24">
        <v>103701.86</v>
      </c>
      <c r="D23" s="24">
        <v>0</v>
      </c>
      <c r="E23" s="24">
        <v>308853.2</v>
      </c>
      <c r="F23" s="24">
        <v>10384</v>
      </c>
      <c r="G23" s="24">
        <f>498555.9+164413.33+155810.66</f>
        <v>818779.89</v>
      </c>
      <c r="H23" s="24">
        <v>57741.33</v>
      </c>
      <c r="I23" s="24">
        <v>57741.33</v>
      </c>
      <c r="J23" s="24">
        <v>322297.33</v>
      </c>
      <c r="K23" s="24">
        <f>160952+83347.33+41300</f>
        <v>285599.33</v>
      </c>
      <c r="L23" s="24">
        <v>385270</v>
      </c>
      <c r="M23" s="24">
        <v>740192.8</v>
      </c>
      <c r="N23" s="24">
        <f t="shared" si="3"/>
        <v>3090561.0700000003</v>
      </c>
    </row>
    <row r="24" spans="1:14" ht="17.25" customHeight="1" x14ac:dyDescent="0.25">
      <c r="A24" s="5" t="s">
        <v>15</v>
      </c>
      <c r="B24" s="24">
        <v>0</v>
      </c>
      <c r="C24" s="24">
        <v>26786</v>
      </c>
      <c r="D24" s="24">
        <f>66000</f>
        <v>66000</v>
      </c>
      <c r="E24" s="24">
        <v>708000</v>
      </c>
      <c r="F24" s="24">
        <v>4602</v>
      </c>
      <c r="G24" s="24">
        <f>18408+303100</f>
        <v>321508</v>
      </c>
      <c r="H24" s="24">
        <v>8614</v>
      </c>
      <c r="I24" s="24">
        <v>125230</v>
      </c>
      <c r="J24" s="24">
        <v>30962.26</v>
      </c>
      <c r="K24" s="24">
        <v>812728.14</v>
      </c>
      <c r="L24" s="24">
        <v>489520</v>
      </c>
      <c r="M24" s="24">
        <v>1447220.35</v>
      </c>
      <c r="N24" s="24">
        <f>SUM(B24:M24)</f>
        <v>4041170.75</v>
      </c>
    </row>
    <row r="25" spans="1:14" ht="17.25" customHeight="1" x14ac:dyDescent="0.25">
      <c r="A25" s="5" t="s">
        <v>16</v>
      </c>
      <c r="B25" s="24">
        <v>281804.7</v>
      </c>
      <c r="C25" s="24">
        <v>78590.36</v>
      </c>
      <c r="D25" s="24">
        <f>261777.52</f>
        <v>261777.52</v>
      </c>
      <c r="E25" s="24">
        <v>215450.3</v>
      </c>
      <c r="F25" s="24">
        <v>180540</v>
      </c>
      <c r="G25" s="24">
        <f>15458+263339.97+77077.6</f>
        <v>355875.56999999995</v>
      </c>
      <c r="H25" s="24">
        <v>331988.96999999997</v>
      </c>
      <c r="I25" s="24">
        <v>250899.96</v>
      </c>
      <c r="J25" s="24">
        <v>213773.98</v>
      </c>
      <c r="K25" s="24">
        <v>0</v>
      </c>
      <c r="L25" s="24">
        <v>464485.36</v>
      </c>
      <c r="M25" s="24">
        <v>446509.58</v>
      </c>
      <c r="N25" s="24">
        <f>SUM(B25:M25)</f>
        <v>3081696.3</v>
      </c>
    </row>
    <row r="26" spans="1:14" ht="17.25" customHeight="1" x14ac:dyDescent="0.25">
      <c r="A26" s="3" t="s">
        <v>17</v>
      </c>
      <c r="B26" s="25">
        <f>B27+B28+B29+B30+B31+B32+B33</f>
        <v>715604</v>
      </c>
      <c r="C26" s="25">
        <f>C27+C28+C29+C30+C31+C32+C33+C35</f>
        <v>2060669.4</v>
      </c>
      <c r="D26" s="25">
        <f>D27+D28+D29+D30+D31+D32</f>
        <v>195375.4</v>
      </c>
      <c r="E26" s="25">
        <f>E27+E28+E29+E30+E31+E32+E35+E33</f>
        <v>1282432.8799999999</v>
      </c>
      <c r="F26" s="25">
        <f t="shared" ref="F26:N26" si="4">F27+F28+F29+F30+F31+F32+F33+F35</f>
        <v>1063414.23</v>
      </c>
      <c r="G26" s="25">
        <f t="shared" si="4"/>
        <v>2451261.69</v>
      </c>
      <c r="H26" s="25">
        <f t="shared" si="4"/>
        <v>955916.6</v>
      </c>
      <c r="I26" s="25">
        <f t="shared" si="4"/>
        <v>1020059.72</v>
      </c>
      <c r="J26" s="25">
        <f t="shared" si="4"/>
        <v>1033769.2100000001</v>
      </c>
      <c r="K26" s="25">
        <f t="shared" si="4"/>
        <v>86918</v>
      </c>
      <c r="L26" s="25">
        <f t="shared" si="4"/>
        <v>1994243.6</v>
      </c>
      <c r="M26" s="25">
        <f t="shared" si="4"/>
        <v>4481013.32</v>
      </c>
      <c r="N26" s="25">
        <f t="shared" si="4"/>
        <v>17340678.049999997</v>
      </c>
    </row>
    <row r="27" spans="1:14" ht="17.25" customHeight="1" x14ac:dyDescent="0.25">
      <c r="A27" s="5" t="s">
        <v>18</v>
      </c>
      <c r="B27" s="24">
        <v>0</v>
      </c>
      <c r="C27" s="24">
        <v>36193.199999999997</v>
      </c>
      <c r="D27" s="24">
        <f>11260</f>
        <v>11260</v>
      </c>
      <c r="E27" s="24">
        <v>97335.29</v>
      </c>
      <c r="F27" s="24">
        <v>107385.66</v>
      </c>
      <c r="G27" s="24">
        <f>11520+13003.6</f>
        <v>24523.599999999999</v>
      </c>
      <c r="H27" s="24">
        <v>28302.6</v>
      </c>
      <c r="I27" s="24">
        <v>15889</v>
      </c>
      <c r="J27" s="24">
        <v>104911.63</v>
      </c>
      <c r="K27" s="24">
        <v>20700</v>
      </c>
      <c r="L27" s="24">
        <v>3304</v>
      </c>
      <c r="M27" s="24">
        <v>621655.97</v>
      </c>
      <c r="N27" s="24">
        <f t="shared" ref="N27:N37" si="5">SUM(B27:M27)</f>
        <v>1071460.95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184115.4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5238.1099999999997</v>
      </c>
      <c r="N28" s="24">
        <f t="shared" si="5"/>
        <v>189353.50999999998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218652.21</v>
      </c>
      <c r="F29" s="24">
        <v>0</v>
      </c>
      <c r="G29" s="24">
        <v>3450</v>
      </c>
      <c r="H29" s="24">
        <v>0</v>
      </c>
      <c r="I29" s="24">
        <v>0</v>
      </c>
      <c r="J29" s="24">
        <v>113006.38</v>
      </c>
      <c r="K29" s="24">
        <f>52269.28+8025</f>
        <v>60294.28</v>
      </c>
      <c r="L29" s="24">
        <v>0</v>
      </c>
      <c r="M29" s="24">
        <v>113173.17</v>
      </c>
      <c r="N29" s="24">
        <f t="shared" si="5"/>
        <v>508576.04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198633.65</v>
      </c>
      <c r="F31" s="24">
        <v>0</v>
      </c>
      <c r="G31" s="24">
        <v>0</v>
      </c>
      <c r="H31" s="24">
        <v>0</v>
      </c>
      <c r="I31" s="24">
        <v>134921.20000000001</v>
      </c>
      <c r="J31" s="24">
        <v>68149.16</v>
      </c>
      <c r="K31" s="24">
        <v>0</v>
      </c>
      <c r="L31" s="24">
        <v>0</v>
      </c>
      <c r="M31" s="24">
        <v>66393.17</v>
      </c>
      <c r="N31" s="24">
        <f t="shared" si="5"/>
        <v>468097.18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3457.86</v>
      </c>
      <c r="G32" s="24">
        <v>908.6</v>
      </c>
      <c r="H32" s="24">
        <v>205320</v>
      </c>
      <c r="I32" s="24">
        <v>0</v>
      </c>
      <c r="J32" s="24">
        <v>0</v>
      </c>
      <c r="K32" s="24">
        <v>0</v>
      </c>
      <c r="L32" s="24">
        <v>0</v>
      </c>
      <c r="M32" s="24">
        <v>71383.899999999994</v>
      </c>
      <c r="N32" s="24">
        <f t="shared" si="5"/>
        <v>281070.36</v>
      </c>
    </row>
    <row r="33" spans="1:14" ht="17.25" customHeight="1" x14ac:dyDescent="0.25">
      <c r="A33" s="5" t="s">
        <v>24</v>
      </c>
      <c r="B33" s="24">
        <v>715604</v>
      </c>
      <c r="C33" s="24">
        <v>1907604</v>
      </c>
      <c r="D33" s="24">
        <v>0</v>
      </c>
      <c r="E33" s="24">
        <v>686600</v>
      </c>
      <c r="F33" s="24">
        <v>698600</v>
      </c>
      <c r="G33" s="24">
        <f>1696600+196900+102494.8+15539.18</f>
        <v>2011533.98</v>
      </c>
      <c r="H33" s="24">
        <v>722294</v>
      </c>
      <c r="I33" s="24">
        <v>702500</v>
      </c>
      <c r="J33" s="24">
        <v>681804</v>
      </c>
      <c r="K33" s="24">
        <v>0</v>
      </c>
      <c r="L33" s="24">
        <v>1499941.6</v>
      </c>
      <c r="M33" s="24">
        <v>3058906.62</v>
      </c>
      <c r="N33" s="24">
        <f t="shared" si="5"/>
        <v>12685388.199999999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116872.2</v>
      </c>
      <c r="D35" s="24">
        <v>0</v>
      </c>
      <c r="E35" s="24">
        <v>81211.73</v>
      </c>
      <c r="F35" s="24">
        <v>253970.71</v>
      </c>
      <c r="G35" s="24">
        <f>66759.67+211591.35+98395.83+30798+3300.66</f>
        <v>410845.51</v>
      </c>
      <c r="H35" s="24">
        <v>0</v>
      </c>
      <c r="I35" s="24">
        <v>166749.51999999999</v>
      </c>
      <c r="J35" s="24">
        <v>65898.039999999994</v>
      </c>
      <c r="K35" s="24">
        <f>4153.72+1770</f>
        <v>5923.72</v>
      </c>
      <c r="L35" s="24">
        <v>490998</v>
      </c>
      <c r="M35" s="24">
        <v>544262.38</v>
      </c>
      <c r="N35" s="24">
        <f t="shared" si="5"/>
        <v>2136731.81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94532.61</v>
      </c>
      <c r="G52" s="25">
        <f>G54+G53+G56+G57</f>
        <v>40374.540000000008</v>
      </c>
      <c r="H52" s="25">
        <f>H53+H57</f>
        <v>0</v>
      </c>
      <c r="I52" s="25">
        <f>I53</f>
        <v>125731.61</v>
      </c>
      <c r="J52" s="25">
        <f>J53+J54</f>
        <v>110936.52</v>
      </c>
      <c r="K52" s="25">
        <f>K53</f>
        <v>95748.01</v>
      </c>
      <c r="L52" s="25">
        <f>L55+L60</f>
        <v>66884</v>
      </c>
      <c r="M52" s="25">
        <f>M53+M54+M57</f>
        <v>858995.19999999995</v>
      </c>
      <c r="N52" s="25">
        <f t="shared" ref="N52:N57" si="8">SUM(B52:M52)</f>
        <v>1393202.49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85632.61</v>
      </c>
      <c r="G53" s="24">
        <v>8685</v>
      </c>
      <c r="H53" s="24">
        <v>0</v>
      </c>
      <c r="I53" s="24">
        <v>125731.61</v>
      </c>
      <c r="J53" s="24">
        <v>0</v>
      </c>
      <c r="K53" s="24">
        <v>95748.01</v>
      </c>
      <c r="L53" s="24">
        <v>0</v>
      </c>
      <c r="M53" s="24">
        <v>781087.59</v>
      </c>
      <c r="N53" s="24">
        <f t="shared" si="8"/>
        <v>1096884.8199999998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8900</v>
      </c>
      <c r="G54" s="24">
        <v>0</v>
      </c>
      <c r="H54" s="24">
        <v>0</v>
      </c>
      <c r="I54" s="24">
        <v>0</v>
      </c>
      <c r="J54" s="24">
        <v>110936.52</v>
      </c>
      <c r="K54" s="24">
        <v>0</v>
      </c>
      <c r="L54" s="24">
        <v>0</v>
      </c>
      <c r="M54" s="24">
        <v>1258.3499999999999</v>
      </c>
      <c r="N54" s="24">
        <f t="shared" si="8"/>
        <v>121094.87000000001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32900</v>
      </c>
      <c r="M55" s="24">
        <v>0</v>
      </c>
      <c r="N55" s="24">
        <f t="shared" si="8"/>
        <v>32900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26397.24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26397.24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5292.3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76649.259999999995</v>
      </c>
      <c r="N57" s="24">
        <f t="shared" si="8"/>
        <v>81941.56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33984</v>
      </c>
      <c r="M60" s="24">
        <v>0</v>
      </c>
      <c r="N60" s="24">
        <f t="shared" si="9"/>
        <v>33984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21633205.310000002</v>
      </c>
      <c r="C83" s="26">
        <f>C52+C16+C10+C26</f>
        <v>20824345.339999996</v>
      </c>
      <c r="D83" s="26">
        <f>D52+D16+D10+D26+D36</f>
        <v>24539426.479999997</v>
      </c>
      <c r="E83" s="26">
        <f>E52+E16+E10+E26</f>
        <v>23461468.329999998</v>
      </c>
      <c r="F83" s="26">
        <f>F52+F16+F10+F26</f>
        <v>33047756.050000001</v>
      </c>
      <c r="G83" s="26">
        <f>G52+G16+G10+G26</f>
        <v>25202494.370000001</v>
      </c>
      <c r="H83" s="26">
        <f>H52+H16+H10+H26</f>
        <v>22860437.010000002</v>
      </c>
      <c r="I83" s="26">
        <f>I52+I26+I16+I10</f>
        <v>22657354.09</v>
      </c>
      <c r="J83" s="26">
        <f>J52+J26+J16+J10</f>
        <v>22694397.009999998</v>
      </c>
      <c r="K83" s="26">
        <f>K52+K16+K10+K26</f>
        <v>34566439.890000001</v>
      </c>
      <c r="L83" s="26">
        <f>L52+L16+L10+L26</f>
        <v>38269557.840000004</v>
      </c>
      <c r="M83" s="26">
        <f>M10+M16+M52+M26</f>
        <v>45423599.500000007</v>
      </c>
      <c r="N83" s="26">
        <f>N52+N26+N16+N10+N36</f>
        <v>335180481.21999997</v>
      </c>
    </row>
    <row r="84" spans="1:14" x14ac:dyDescent="0.25">
      <c r="A84" s="37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2025-01-09T13:21:00Z</cp:lastPrinted>
  <dcterms:created xsi:type="dcterms:W3CDTF">2021-07-29T18:58:50Z</dcterms:created>
  <dcterms:modified xsi:type="dcterms:W3CDTF">2025-01-09T15:54:21Z</dcterms:modified>
</cp:coreProperties>
</file>