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OS DEL DISCO C\Desktop\Informaciones para el portal\Informaciones 2024\"/>
    </mc:Choice>
  </mc:AlternateContent>
  <xr:revisionPtr revIDLastSave="0" documentId="13_ncr:1_{0184563C-6348-46E7-A104-CCCB36EDF1B8}" xr6:coauthVersionLast="47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P1 Presupuesto Aprobado" sheetId="1" r:id="rId1"/>
    <sheet name="P2 Presupuesto Aprobado-Ejec " sheetId="2" r:id="rId2"/>
    <sheet name="P3 Ejecucion " sheetId="3" r:id="rId3"/>
  </sheets>
  <definedNames>
    <definedName name="_xlnm.Print_Titles" localSheetId="1">'P2 Presupuesto Aprobado-Ejec '!$1:$10</definedName>
    <definedName name="_xlnm.Print_Titles" localSheetId="2">'P3 Ejecucion '!$1:$9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L16" i="3" l="1"/>
  <c r="L52" i="3"/>
  <c r="N55" i="3"/>
  <c r="N61" i="3"/>
  <c r="N60" i="3"/>
  <c r="N59" i="3"/>
  <c r="N58" i="3"/>
  <c r="P54" i="2"/>
  <c r="P37" i="2"/>
  <c r="P35" i="2"/>
  <c r="P18" i="2"/>
  <c r="P26" i="2"/>
  <c r="P23" i="2"/>
  <c r="P19" i="2"/>
  <c r="P13" i="2"/>
  <c r="P17" i="2"/>
  <c r="K35" i="3"/>
  <c r="K29" i="3"/>
  <c r="K23" i="3"/>
  <c r="K21" i="3"/>
  <c r="K17" i="3"/>
  <c r="K11" i="3"/>
  <c r="K12" i="3"/>
  <c r="K15" i="3"/>
  <c r="J83" i="3"/>
  <c r="J52" i="3"/>
  <c r="J26" i="3"/>
  <c r="J16" i="3"/>
  <c r="N54" i="2"/>
  <c r="N18" i="2"/>
  <c r="L17" i="2"/>
  <c r="J23" i="2"/>
  <c r="E54" i="1"/>
  <c r="E54" i="2"/>
  <c r="L35" i="2"/>
  <c r="L29" i="2"/>
  <c r="L27" i="2"/>
  <c r="L23" i="2"/>
  <c r="L19" i="2"/>
  <c r="G16" i="3"/>
  <c r="F17" i="3"/>
  <c r="G35" i="3"/>
  <c r="G27" i="3"/>
  <c r="G25" i="3"/>
  <c r="G24" i="3"/>
  <c r="G23" i="3"/>
  <c r="G52" i="3"/>
  <c r="K18" i="2"/>
  <c r="G26" i="3" l="1"/>
  <c r="G33" i="3"/>
  <c r="G17" i="3"/>
  <c r="G15" i="3"/>
  <c r="G11" i="3"/>
  <c r="F26" i="3"/>
  <c r="F52" i="3"/>
  <c r="F16" i="3"/>
  <c r="F83" i="3" s="1"/>
  <c r="J54" i="2"/>
  <c r="J55" i="2"/>
  <c r="J37" i="2"/>
  <c r="J29" i="2"/>
  <c r="J18" i="2"/>
  <c r="J24" i="2"/>
  <c r="J19" i="2"/>
  <c r="J13" i="2"/>
  <c r="J17" i="2"/>
  <c r="R39" i="2"/>
  <c r="E16" i="3"/>
  <c r="E26" i="3"/>
  <c r="I37" i="2"/>
  <c r="I31" i="2"/>
  <c r="I21" i="2"/>
  <c r="I13" i="2"/>
  <c r="G83" i="3" l="1"/>
  <c r="I18" i="2"/>
  <c r="I27" i="2"/>
  <c r="I24" i="2"/>
  <c r="H23" i="2"/>
  <c r="H19" i="2"/>
  <c r="G25" i="2"/>
  <c r="G18" i="2" s="1"/>
  <c r="I19" i="2" l="1"/>
  <c r="I17" i="2"/>
  <c r="E18" i="1"/>
  <c r="H18" i="2"/>
  <c r="N37" i="3" l="1"/>
  <c r="D16" i="3"/>
  <c r="D27" i="3"/>
  <c r="D25" i="3"/>
  <c r="D24" i="3"/>
  <c r="D21" i="3"/>
  <c r="D17" i="3"/>
  <c r="D11" i="3"/>
  <c r="D15" i="3"/>
  <c r="C26" i="3"/>
  <c r="G37" i="2" l="1"/>
  <c r="G29" i="2"/>
  <c r="G27" i="2"/>
  <c r="G19" i="2" l="1"/>
  <c r="G17" i="2"/>
  <c r="G13" i="2"/>
  <c r="B16" i="3"/>
  <c r="D13" i="2"/>
  <c r="D12" i="2" s="1"/>
  <c r="D17" i="2"/>
  <c r="D14" i="2"/>
  <c r="E17" i="2"/>
  <c r="E14" i="2"/>
  <c r="F18" i="2"/>
  <c r="C16" i="3"/>
  <c r="D28" i="1"/>
  <c r="D12" i="1"/>
  <c r="M16" i="3"/>
  <c r="M26" i="3"/>
  <c r="M52" i="3"/>
  <c r="Q18" i="2"/>
  <c r="K26" i="3"/>
  <c r="R36" i="2"/>
  <c r="R59" i="2"/>
  <c r="R58" i="2"/>
  <c r="R57" i="2"/>
  <c r="H16" i="3" l="1"/>
  <c r="H52" i="3"/>
  <c r="H26" i="3"/>
  <c r="L18" i="2"/>
  <c r="N62" i="3"/>
  <c r="N45" i="3"/>
  <c r="N36" i="3"/>
  <c r="M62" i="3"/>
  <c r="L62" i="3"/>
  <c r="K62" i="3"/>
  <c r="J62" i="3"/>
  <c r="I62" i="3"/>
  <c r="H62" i="3"/>
  <c r="G62" i="3"/>
  <c r="F62" i="3"/>
  <c r="E62" i="3"/>
  <c r="D62" i="3"/>
  <c r="C62" i="3"/>
  <c r="B62" i="3"/>
  <c r="M45" i="3"/>
  <c r="L45" i="3"/>
  <c r="K45" i="3"/>
  <c r="J45" i="3"/>
  <c r="I45" i="3"/>
  <c r="H45" i="3"/>
  <c r="G45" i="3"/>
  <c r="F45" i="3"/>
  <c r="E45" i="3"/>
  <c r="D45" i="3"/>
  <c r="C45" i="3"/>
  <c r="B45" i="3"/>
  <c r="M36" i="3"/>
  <c r="L36" i="3"/>
  <c r="K36" i="3"/>
  <c r="J36" i="3"/>
  <c r="I36" i="3"/>
  <c r="H36" i="3"/>
  <c r="G36" i="3"/>
  <c r="F36" i="3"/>
  <c r="E36" i="3"/>
  <c r="D36" i="3"/>
  <c r="C36" i="3"/>
  <c r="B36" i="3"/>
  <c r="N12" i="3" l="1"/>
  <c r="N15" i="3"/>
  <c r="N57" i="3"/>
  <c r="N56" i="3"/>
  <c r="E52" i="3"/>
  <c r="K52" i="3"/>
  <c r="D52" i="3"/>
  <c r="C52" i="3"/>
  <c r="B52" i="3"/>
  <c r="B26" i="3"/>
  <c r="D18" i="2"/>
  <c r="D18" i="1" l="1"/>
  <c r="M10" i="3"/>
  <c r="Q54" i="2"/>
  <c r="E38" i="2"/>
  <c r="E18" i="2"/>
  <c r="N54" i="3"/>
  <c r="L26" i="3"/>
  <c r="L10" i="3"/>
  <c r="I16" i="3"/>
  <c r="I10" i="3"/>
  <c r="I26" i="3"/>
  <c r="K10" i="3"/>
  <c r="N35" i="3"/>
  <c r="N33" i="3"/>
  <c r="N32" i="3"/>
  <c r="N31" i="3"/>
  <c r="N30" i="3"/>
  <c r="N29" i="3"/>
  <c r="N28" i="3"/>
  <c r="N27" i="3"/>
  <c r="I52" i="3"/>
  <c r="N53" i="3"/>
  <c r="D26" i="3"/>
  <c r="N25" i="3"/>
  <c r="K16" i="3"/>
  <c r="N24" i="3"/>
  <c r="N23" i="3"/>
  <c r="N22" i="3"/>
  <c r="N21" i="3"/>
  <c r="N20" i="3"/>
  <c r="N19" i="3"/>
  <c r="N18" i="3"/>
  <c r="N17" i="3"/>
  <c r="J10" i="3"/>
  <c r="H10" i="3"/>
  <c r="H83" i="3" s="1"/>
  <c r="G10" i="3"/>
  <c r="F10" i="3"/>
  <c r="E10" i="3"/>
  <c r="D10" i="3"/>
  <c r="D83" i="3" s="1"/>
  <c r="C10" i="3"/>
  <c r="B10" i="3"/>
  <c r="N11" i="3"/>
  <c r="R56" i="2"/>
  <c r="R55" i="2"/>
  <c r="O54" i="2"/>
  <c r="M54" i="2"/>
  <c r="L54" i="2"/>
  <c r="K54" i="2"/>
  <c r="R31" i="2"/>
  <c r="R37" i="2"/>
  <c r="R35" i="2"/>
  <c r="R34" i="2"/>
  <c r="R33" i="2"/>
  <c r="R32" i="2"/>
  <c r="R30" i="2"/>
  <c r="R29" i="2"/>
  <c r="R27" i="2"/>
  <c r="R25" i="2"/>
  <c r="R22" i="2"/>
  <c r="R21" i="2"/>
  <c r="R20" i="2"/>
  <c r="M18" i="2"/>
  <c r="R26" i="2"/>
  <c r="R24" i="2"/>
  <c r="R23" i="2"/>
  <c r="R19" i="2"/>
  <c r="R17" i="2"/>
  <c r="R14" i="2"/>
  <c r="R13" i="2"/>
  <c r="I54" i="2"/>
  <c r="H54" i="2"/>
  <c r="G54" i="2"/>
  <c r="F54" i="2"/>
  <c r="R38" i="2"/>
  <c r="Q38" i="2"/>
  <c r="P38" i="2"/>
  <c r="O38" i="2"/>
  <c r="N38" i="2"/>
  <c r="M38" i="2"/>
  <c r="L38" i="2"/>
  <c r="K38" i="2"/>
  <c r="J38" i="2"/>
  <c r="I38" i="2"/>
  <c r="H38" i="2"/>
  <c r="G38" i="2"/>
  <c r="F38" i="2"/>
  <c r="Q28" i="2"/>
  <c r="P28" i="2"/>
  <c r="O28" i="2"/>
  <c r="N28" i="2"/>
  <c r="M28" i="2"/>
  <c r="L28" i="2"/>
  <c r="K28" i="2"/>
  <c r="J28" i="2"/>
  <c r="I28" i="2"/>
  <c r="H28" i="2"/>
  <c r="G28" i="2"/>
  <c r="F28" i="2"/>
  <c r="O18" i="2"/>
  <c r="Q12" i="2"/>
  <c r="P12" i="2"/>
  <c r="O12" i="2"/>
  <c r="N12" i="2"/>
  <c r="M12" i="2"/>
  <c r="L12" i="2"/>
  <c r="K12" i="2"/>
  <c r="J12" i="2"/>
  <c r="I12" i="2"/>
  <c r="H12" i="2"/>
  <c r="G12" i="2"/>
  <c r="F12" i="2"/>
  <c r="D54" i="2"/>
  <c r="D38" i="2"/>
  <c r="E28" i="2"/>
  <c r="D28" i="2"/>
  <c r="E12" i="2"/>
  <c r="K83" i="3" l="1"/>
  <c r="R12" i="2"/>
  <c r="E83" i="3"/>
  <c r="C83" i="3"/>
  <c r="B83" i="3"/>
  <c r="M83" i="3"/>
  <c r="L83" i="3"/>
  <c r="D85" i="2"/>
  <c r="R54" i="2"/>
  <c r="E85" i="2"/>
  <c r="I83" i="3"/>
  <c r="N26" i="3"/>
  <c r="N10" i="3"/>
  <c r="N16" i="3"/>
  <c r="N52" i="3"/>
  <c r="R28" i="2"/>
  <c r="H85" i="2"/>
  <c r="I85" i="2"/>
  <c r="R18" i="2"/>
  <c r="Q85" i="2"/>
  <c r="K85" i="2"/>
  <c r="O85" i="2"/>
  <c r="P85" i="2"/>
  <c r="J85" i="2"/>
  <c r="N85" i="2"/>
  <c r="M85" i="2"/>
  <c r="L85" i="2"/>
  <c r="G85" i="2"/>
  <c r="F85" i="2"/>
  <c r="D54" i="1"/>
  <c r="E38" i="1"/>
  <c r="D38" i="1"/>
  <c r="E28" i="1"/>
  <c r="E12" i="1"/>
  <c r="E85" i="1" l="1"/>
  <c r="N83" i="3"/>
  <c r="D85" i="1"/>
  <c r="R85" i="2"/>
</calcChain>
</file>

<file path=xl/sharedStrings.xml><?xml version="1.0" encoding="utf-8"?>
<sst xmlns="http://schemas.openxmlformats.org/spreadsheetml/2006/main" count="293" uniqueCount="113">
  <si>
    <t>2 - GASTOS</t>
  </si>
  <si>
    <t>2.1 - REMUNERACIONES Y CONTRIBUCIONES</t>
  </si>
  <si>
    <t>2.1.1 - REMUNERACIONES</t>
  </si>
  <si>
    <t>2.1.2 - SOBRESUELDOS</t>
  </si>
  <si>
    <t>2.1.3 - DIETAS Y GASTOS DE REPRESENTACIÓN</t>
  </si>
  <si>
    <t>2.1.4 - GRATIFICACIONES Y BONIFICACIONES</t>
  </si>
  <si>
    <t>2.1.5 - CONTRIBUCIONES A LA SEGURIDAD SOCIAL</t>
  </si>
  <si>
    <t>2.2 - CONTRATACIÓN DE SERVICIOS</t>
  </si>
  <si>
    <t>2.2.1 - SERVICIOS BÁSICOS</t>
  </si>
  <si>
    <t>2.2.2 - PUBLICIDAD, IMPRESIÓN Y ENCUADERNACIÓN</t>
  </si>
  <si>
    <t>2.2.3 - VIÁTICOS</t>
  </si>
  <si>
    <t>2.2.4 - TRANSPORTE Y ALMACENAJE</t>
  </si>
  <si>
    <t>2.2.5 - ALQUILERES Y RENTAS</t>
  </si>
  <si>
    <t>2.2.6 - SEGUROS</t>
  </si>
  <si>
    <t>2.2.7 - SERVICIOS DE CONSERVACIÓN, REPARACIONES MENORES E INSTALACIONES TEMPORALES</t>
  </si>
  <si>
    <t>2.2.8 - OTROS SERVICIOS NO INCLUIDOS EN CONCEPTOS ANTERIORES</t>
  </si>
  <si>
    <t>2.2.9 - OTRAS CONTRATACIONES DE SERVICIOS</t>
  </si>
  <si>
    <t>2.3 - MATERIALES Y SUMINISTROS</t>
  </si>
  <si>
    <t>2.3.1 - ALIMENTOS Y PRODUCTOS AGROFORESTALES</t>
  </si>
  <si>
    <t>2.3.2 - TEXTILES Y VESTUARIOS</t>
  </si>
  <si>
    <t>2.3.3 - PRODUCTOS DE PAPEL, CARTÓN E IMPRESOS</t>
  </si>
  <si>
    <t>2.3.4 - PRODUCTOS FARMACÉUTICOS</t>
  </si>
  <si>
    <t>2.3.5 - PRODUCTOS DE CUERO, CAUCHO Y PLÁSTICO</t>
  </si>
  <si>
    <t>2.3.6 - PRODUCTOS DE MINERALES, METÁLICOS Y NO METÁLICOS</t>
  </si>
  <si>
    <t>2.3.7 - COMBUSTIBLES, LUBRICANTES, PRODUCTOS QUÍMICOS Y CONEXOS</t>
  </si>
  <si>
    <t>2.3.8 - GASTOS QUE SE ASIGNARÁN DURANTE EL EJERCICIO (ART. 32 Y 33 LEY 423-06)</t>
  </si>
  <si>
    <t>2.3.9 - PRODUCTOS Y ÚTILES VARIOS</t>
  </si>
  <si>
    <t>2.4 - TRANSFERENCIAS CORRIENTES</t>
  </si>
  <si>
    <t>2.4.1 - TRANSFERENCIAS CORRIENTES AL SECTOR PRIVADO</t>
  </si>
  <si>
    <t>2.4.2 - TRANSFERENCIAS CORRIENTES AL  GOBIERNO GENERAL NACIONAL</t>
  </si>
  <si>
    <t>2.4.3 - TRANSFERENCIAS CORRIENTES A GOBIERNOS GENERALES LOCALES</t>
  </si>
  <si>
    <t>2.4.4 - TRANSFERENCIAS CORRIENTES A EMPRESAS PÚBLICAS NO FINANCIERAS</t>
  </si>
  <si>
    <t>2.4.5 - TRANSFERENCIAS CORRIENTES A INSTITUCIONES PÚBLICAS FINANCIERAS</t>
  </si>
  <si>
    <t>2.4.6 - SUBVENCIONES</t>
  </si>
  <si>
    <t>2.4.7 - TRANSFERENCIAS CORRIENTES AL SECTOR EXTERNO</t>
  </si>
  <si>
    <t>2.4.9 - TRANSFERENCIAS CORRIENTES A OTRAS INSTITUCIONES PÚBLICAS</t>
  </si>
  <si>
    <t>2.5 - TRANSFERENCIAS DE CAPITAL</t>
  </si>
  <si>
    <t>2.5.1 - TRANSFERENCIAS DE CAPITAL AL SECTOR PRIVADO</t>
  </si>
  <si>
    <t>2.5.2 - TRANSFERENCIAS DE CAPITAL AL GOBIERNO GENERAL  NACIONAL</t>
  </si>
  <si>
    <t>2.5.3 - TRANSFERENCIAS DE CAPITAL A GOBIERNOS GENERALES LOCALES</t>
  </si>
  <si>
    <t>2.5.4 - TRANSFERENCIAS DE CAPITAL  A EMPRESAS PÚBLICAS NO FINANCIERAS</t>
  </si>
  <si>
    <t>2.5.6 - TRANSFERENCIAS DE CAPITAL AL SECTOR EXTERNO</t>
  </si>
  <si>
    <t>2.5.9 - TRANSFERENCIAS DE CAPITAL A OTRAS INSTITUCIONES PÚBLICAS</t>
  </si>
  <si>
    <t>2.6 - BIENES MUEBLES, INMUEBLES E INTANGIBLES</t>
  </si>
  <si>
    <t>2.6.1 - MOBILIARIO Y EQUIPO</t>
  </si>
  <si>
    <t>2.6.2 - MOBILIARIO Y EQUIPO AUDIOVISUAL, RECREATIVO Y EDUCACIONAL</t>
  </si>
  <si>
    <t>2.6.3 - EQUIPO E INSTRUMENTAL, CIENTÍFICO Y LABORATORIO</t>
  </si>
  <si>
    <t>2.6.4 - VEHÍCULOS Y EQUIPO DE TRANSPORTE, TRACCIÓN Y ELEVACIÓN</t>
  </si>
  <si>
    <t>2.6.5 - MAQUINARIA, OTROS EQUIPOS Y HERRAMIENTAS</t>
  </si>
  <si>
    <t>2.6.6 - EQUIPOS DE DEFENSA Y SEGURIDAD</t>
  </si>
  <si>
    <t>2.6.7 - ACTIVOS BIOLÓGICOS</t>
  </si>
  <si>
    <t>2.6.8 - BIENES INTANGIBLES</t>
  </si>
  <si>
    <t>2.6.9 - EDIFICIOS, ESTRUCTURAS, TIERRAS, TERRENOS Y OBJETOS DE VALOR</t>
  </si>
  <si>
    <t>2.7 - OBRAS</t>
  </si>
  <si>
    <t>2.7.1 - OBRAS EN EDIFICACIONES</t>
  </si>
  <si>
    <t>2.7.2 - INFRAESTRUCTURA</t>
  </si>
  <si>
    <t>2.7.3 - CONSTRUCCIONES EN BIENES CONCESIONADOS</t>
  </si>
  <si>
    <t>2.7.4 - GASTOS QUE SE ASIGNARÁN DURANTE EL EJERCICIO PARA INVERSIÓN (ART. 32 Y 33 LEY 423-06)</t>
  </si>
  <si>
    <t>2.8 - ADQUISICION DE ACTIVOS FINANCIEROS CON FINES DE POLÍTICA</t>
  </si>
  <si>
    <t>2.8.1 - CONCESIÓN DE PRESTAMOS</t>
  </si>
  <si>
    <t>2.8.2 - ADQUISICIÓN DE TÍTULOS VALORES REPRESENTATIVOS DE DEUDA</t>
  </si>
  <si>
    <t>2.9 - GASTOS FINANCIEROS</t>
  </si>
  <si>
    <t>2.9.1 - INTERESES DE LA DEUDA PÚBLICA INTERNA</t>
  </si>
  <si>
    <t>2.9.2 - INTERESES DE LA DEUDA PUBLICA EXTERNA</t>
  </si>
  <si>
    <t>2.9.4 - COMISIONES Y OTROS GASTOS BANCARIOS DE LA DEUDA PÚBLICA</t>
  </si>
  <si>
    <t>Total general</t>
  </si>
  <si>
    <t>DETALLE</t>
  </si>
  <si>
    <t>4 - APLICACIONES FINANCIERAS</t>
  </si>
  <si>
    <t>4.1 - INCREMENTO DE ACTIVOS FINANCIEROS</t>
  </si>
  <si>
    <t>4.1.1 - INCREMENTO DE ACTIVOS FINANCIEROS CORRIENTES</t>
  </si>
  <si>
    <t>4.1.2 - INCREMENTO DE ACTIVOS FINANCIEROS NO CORRIENTES</t>
  </si>
  <si>
    <t>4.2 - DISMINUCIÓN DE PASIVOS</t>
  </si>
  <si>
    <t>4.2.1 - DISMINUCIÓN DE PASIVOS CORRIENTES</t>
  </si>
  <si>
    <t>4.2.2 - DISMINUCIÓN DE PASIVOS NO CORRIENTES</t>
  </si>
  <si>
    <t>4.3 - DISMINUCIÓN DE FONDOS DE TERCEROS</t>
  </si>
  <si>
    <t>4.3.5 - DISMINUCIÓN DEPÓSITOS FONDOS DE TERCEROS</t>
  </si>
  <si>
    <t xml:space="preserve">Presupuesto de Gasto y Aplicaciones financieras </t>
  </si>
  <si>
    <t>En RD$</t>
  </si>
  <si>
    <t xml:space="preserve">Total </t>
  </si>
  <si>
    <t xml:space="preserve">Enero </t>
  </si>
  <si>
    <t>Febrero</t>
  </si>
  <si>
    <t>Marzo</t>
  </si>
  <si>
    <t>Abril</t>
  </si>
  <si>
    <t>Mayo</t>
  </si>
  <si>
    <t>Junio</t>
  </si>
  <si>
    <t>Julio</t>
  </si>
  <si>
    <t xml:space="preserve">Agosto </t>
  </si>
  <si>
    <t>Septiembre</t>
  </si>
  <si>
    <t>Octubre</t>
  </si>
  <si>
    <t xml:space="preserve">Noviembre </t>
  </si>
  <si>
    <t>Diciembre</t>
  </si>
  <si>
    <t xml:space="preserve">Gasto devengado </t>
  </si>
  <si>
    <t xml:space="preserve">Ejecución de Gasto y Aplicaciones financieras </t>
  </si>
  <si>
    <t>Presupuesto Modificado</t>
  </si>
  <si>
    <t>Presupuesto Aprobado</t>
  </si>
  <si>
    <r>
      <rPr>
        <b/>
        <sz val="11"/>
        <color theme="1"/>
        <rFont val="Calibri"/>
        <family val="2"/>
        <scheme val="minor"/>
      </rPr>
      <t>Presupuesto aprobado:</t>
    </r>
    <r>
      <rPr>
        <sz val="11"/>
        <color theme="1"/>
        <rFont val="Calibri"/>
        <family val="2"/>
        <scheme val="minor"/>
      </rPr>
      <t xml:space="preserve"> Se refiere al presupuesto aprobado en la Ley de Presupuesto General del Estado.</t>
    </r>
  </si>
  <si>
    <r>
      <t xml:space="preserve">Presupuesto modificado:  </t>
    </r>
    <r>
      <rPr>
        <sz val="11"/>
        <color theme="1"/>
        <rFont val="Calibri"/>
        <family val="2"/>
        <scheme val="minor"/>
      </rPr>
      <t xml:space="preserve">Se refiere al presupuesto aprobado en caso de que el Congreso Nacional apruebe un presupuesto complementario. </t>
    </r>
  </si>
  <si>
    <r>
      <rPr>
        <b/>
        <sz val="11"/>
        <color theme="1"/>
        <rFont val="Calibri"/>
        <family val="2"/>
        <scheme val="minor"/>
      </rPr>
      <t>Total devengado:</t>
    </r>
    <r>
      <rPr>
        <sz val="11"/>
        <color theme="1"/>
        <rFont val="Calibri"/>
        <family val="2"/>
        <scheme val="minor"/>
      </rPr>
      <t xml:space="preserve">  Son los recursos financieros que surgen con la obligación de pago por la recepción de conformidad de obras, bienes y servicios oportunamente contratados o, en los casos de gastos sin contraprestación, por haberse cumplido los requisitos administrativos dispuestos por el reglamento de la presente Ley.</t>
    </r>
  </si>
  <si>
    <t>SISTEMA UNICO DE BENEFICIARIOS (SIUBEN)</t>
  </si>
  <si>
    <t xml:space="preserve">SISTEMA UNICO DE BENERICIARIOS </t>
  </si>
  <si>
    <t>SISTEMA UNICO DE BENEFICIARIOS</t>
  </si>
  <si>
    <t xml:space="preserve">                                                                                                                             Preparado por:</t>
  </si>
  <si>
    <t xml:space="preserve">                                                                                                                             Autorizado por:</t>
  </si>
  <si>
    <t xml:space="preserve">                                                                                                                              _____________________________</t>
  </si>
  <si>
    <t xml:space="preserve">                                                                                                                      Thelbia Fernández</t>
  </si>
  <si>
    <t xml:space="preserve">                                                                                                                      Giselle Feliz García</t>
  </si>
  <si>
    <t xml:space="preserve">                                                                                                                      Analista de Presupuesto – SIUBEN</t>
  </si>
  <si>
    <t>Humberto Méndez</t>
  </si>
  <si>
    <t xml:space="preserve">                                                                                                                      Director  Administrativo y Financiero</t>
  </si>
  <si>
    <t xml:space="preserve">                                                                                                                 Humberto Méndez</t>
  </si>
  <si>
    <t xml:space="preserve">                                                                                                                     Director Administrativo y Financiero </t>
  </si>
  <si>
    <t>GOBIERNO DE LA REPUBLICA DOMINICANA</t>
  </si>
  <si>
    <t>Nota: Reintegros por devolución de subsidio enfermedad común RD$458,209.36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</si>
</sst>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.0_);_(* \(#,##0.0\);_(* &quot;-&quot;??_);_(@_)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2"/>
      <color rgb="FF000000"/>
      <name val="Calibri"/>
      <family val="2"/>
      <scheme val="minor"/>
    </font>
    <font>
      <sz val="16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i/>
      <sz val="14"/>
      <color rgb="FF000000"/>
      <name val="Calibri"/>
      <family val="2"/>
    </font>
    <font>
      <b/>
      <i/>
      <sz val="14"/>
      <color rgb="FF000000"/>
      <name val="Calibri"/>
      <family val="2"/>
    </font>
    <font>
      <i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b/>
      <i/>
      <sz val="11"/>
      <name val="Gotham"/>
    </font>
    <font>
      <sz val="14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-0.249977111117893"/>
        <bgColor theme="4" tint="0.79998168889431442"/>
      </patternFill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indexed="64"/>
      </right>
      <top style="thin">
        <color theme="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9">
    <xf numFmtId="0" fontId="0" fillId="0" borderId="0" xfId="0"/>
    <xf numFmtId="0" fontId="3" fillId="0" borderId="1" xfId="0" applyFont="1" applyBorder="1" applyAlignment="1">
      <alignment horizontal="left"/>
    </xf>
    <xf numFmtId="164" fontId="3" fillId="0" borderId="1" xfId="0" applyNumberFormat="1" applyFont="1" applyBorder="1"/>
    <xf numFmtId="0" fontId="3" fillId="0" borderId="0" xfId="0" applyFont="1" applyAlignment="1">
      <alignment horizontal="left" indent="1"/>
    </xf>
    <xf numFmtId="164" fontId="3" fillId="0" borderId="0" xfId="0" applyNumberFormat="1" applyFont="1"/>
    <xf numFmtId="0" fontId="0" fillId="0" borderId="0" xfId="0" applyAlignment="1">
      <alignment horizontal="left" indent="2"/>
    </xf>
    <xf numFmtId="164" fontId="0" fillId="0" borderId="0" xfId="0" applyNumberFormat="1"/>
    <xf numFmtId="0" fontId="2" fillId="2" borderId="3" xfId="0" applyFont="1" applyFill="1" applyBorder="1" applyAlignment="1">
      <alignment horizontal="left" vertical="center"/>
    </xf>
    <xf numFmtId="0" fontId="0" fillId="3" borderId="0" xfId="0" applyFill="1"/>
    <xf numFmtId="0" fontId="2" fillId="2" borderId="2" xfId="0" applyFont="1" applyFill="1" applyBorder="1" applyAlignment="1">
      <alignment vertical="center"/>
    </xf>
    <xf numFmtId="0" fontId="4" fillId="0" borderId="0" xfId="0" applyFont="1" applyAlignment="1">
      <alignment vertical="center" wrapText="1" readingOrder="1"/>
    </xf>
    <xf numFmtId="0" fontId="5" fillId="0" borderId="0" xfId="0" applyFont="1" applyAlignment="1">
      <alignment vertical="top" wrapText="1" readingOrder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top" wrapText="1" readingOrder="1"/>
    </xf>
    <xf numFmtId="0" fontId="7" fillId="0" borderId="0" xfId="0" applyFont="1" applyAlignment="1">
      <alignment horizontal="center" vertical="top" wrapText="1" readingOrder="1"/>
    </xf>
    <xf numFmtId="0" fontId="2" fillId="4" borderId="3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0" fillId="0" borderId="9" xfId="0" applyBorder="1"/>
    <xf numFmtId="0" fontId="2" fillId="4" borderId="3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/>
    </xf>
    <xf numFmtId="0" fontId="3" fillId="0" borderId="11" xfId="0" applyFont="1" applyBorder="1" applyAlignment="1">
      <alignment wrapText="1"/>
    </xf>
    <xf numFmtId="0" fontId="0" fillId="0" borderId="11" xfId="0" applyBorder="1" applyAlignment="1">
      <alignment wrapText="1"/>
    </xf>
    <xf numFmtId="0" fontId="0" fillId="0" borderId="11" xfId="0" applyBorder="1" applyAlignment="1">
      <alignment vertical="center"/>
    </xf>
    <xf numFmtId="164" fontId="2" fillId="2" borderId="2" xfId="0" applyNumberFormat="1" applyFont="1" applyFill="1" applyBorder="1"/>
    <xf numFmtId="4" fontId="0" fillId="0" borderId="0" xfId="0" applyNumberFormat="1"/>
    <xf numFmtId="4" fontId="3" fillId="0" borderId="0" xfId="0" applyNumberFormat="1" applyFont="1"/>
    <xf numFmtId="39" fontId="2" fillId="2" borderId="2" xfId="0" applyNumberFormat="1" applyFont="1" applyFill="1" applyBorder="1"/>
    <xf numFmtId="4" fontId="3" fillId="0" borderId="1" xfId="0" applyNumberFormat="1" applyFont="1" applyBorder="1"/>
    <xf numFmtId="4" fontId="2" fillId="2" borderId="2" xfId="0" applyNumberFormat="1" applyFont="1" applyFill="1" applyBorder="1"/>
    <xf numFmtId="0" fontId="0" fillId="0" borderId="0" xfId="0" applyAlignment="1">
      <alignment horizontal="left" wrapText="1" indent="2"/>
    </xf>
    <xf numFmtId="0" fontId="9" fillId="0" borderId="0" xfId="0" applyFont="1"/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/>
    <xf numFmtId="0" fontId="13" fillId="0" borderId="0" xfId="0" applyFont="1" applyAlignment="1">
      <alignment horizontal="center" vertical="center"/>
    </xf>
    <xf numFmtId="0" fontId="2" fillId="4" borderId="3" xfId="0" applyFont="1" applyFill="1" applyBorder="1" applyAlignment="1">
      <alignment horizontal="center" vertical="center" wrapText="1"/>
    </xf>
    <xf numFmtId="0" fontId="11" fillId="0" borderId="0" xfId="0" applyFont="1" applyAlignment="1">
      <alignment vertical="center"/>
    </xf>
    <xf numFmtId="0" fontId="14" fillId="0" borderId="0" xfId="0" applyFont="1"/>
    <xf numFmtId="0" fontId="8" fillId="0" borderId="0" xfId="0" applyFont="1" applyAlignment="1">
      <alignment horizontal="center" vertical="center" wrapText="1"/>
    </xf>
    <xf numFmtId="0" fontId="7" fillId="0" borderId="5" xfId="0" applyFont="1" applyBorder="1" applyAlignment="1">
      <alignment horizontal="center" vertical="top" wrapText="1" readingOrder="1"/>
    </xf>
    <xf numFmtId="0" fontId="7" fillId="0" borderId="0" xfId="0" applyFont="1" applyAlignment="1">
      <alignment horizontal="center" vertical="top" wrapText="1" readingOrder="1"/>
    </xf>
    <xf numFmtId="0" fontId="2" fillId="2" borderId="3" xfId="0" applyFont="1" applyFill="1" applyBorder="1" applyAlignment="1">
      <alignment horizontal="left" vertical="center"/>
    </xf>
    <xf numFmtId="43" fontId="2" fillId="2" borderId="3" xfId="1" applyFont="1" applyFill="1" applyBorder="1" applyAlignment="1">
      <alignment horizontal="center" vertical="center" wrapText="1"/>
    </xf>
    <xf numFmtId="43" fontId="2" fillId="2" borderId="4" xfId="1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2" fillId="4" borderId="10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 readingOrder="1"/>
    </xf>
    <xf numFmtId="0" fontId="4" fillId="0" borderId="0" xfId="0" applyFont="1" applyAlignment="1">
      <alignment horizontal="center" vertical="center" wrapText="1" readingOrder="1"/>
    </xf>
    <xf numFmtId="0" fontId="5" fillId="0" borderId="5" xfId="0" applyFont="1" applyBorder="1" applyAlignment="1">
      <alignment horizontal="center" vertical="top" wrapText="1" readingOrder="1"/>
    </xf>
    <xf numFmtId="0" fontId="5" fillId="0" borderId="0" xfId="0" applyFont="1" applyAlignment="1">
      <alignment horizontal="center" vertical="top" wrapText="1" readingOrder="1"/>
    </xf>
    <xf numFmtId="0" fontId="0" fillId="0" borderId="0" xfId="0" applyFont="1"/>
    <xf numFmtId="0" fontId="15" fillId="0" borderId="5" xfId="0" applyFont="1" applyBorder="1" applyAlignment="1">
      <alignment horizontal="center" vertical="center" wrapText="1" readingOrder="1"/>
    </xf>
    <xf numFmtId="0" fontId="15" fillId="0" borderId="0" xfId="0" applyFont="1" applyAlignment="1">
      <alignment horizontal="center" vertical="center" wrapText="1" readingOrder="1"/>
    </xf>
    <xf numFmtId="0" fontId="15" fillId="0" borderId="5" xfId="0" applyFont="1" applyBorder="1" applyAlignment="1">
      <alignment horizontal="center" vertical="top" wrapText="1" readingOrder="1"/>
    </xf>
    <xf numFmtId="0" fontId="15" fillId="0" borderId="0" xfId="0" applyFont="1" applyAlignment="1">
      <alignment horizontal="center" vertical="top" wrapText="1" readingOrder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781051</xdr:colOff>
      <xdr:row>2</xdr:row>
      <xdr:rowOff>142875</xdr:rowOff>
    </xdr:from>
    <xdr:to>
      <xdr:col>5</xdr:col>
      <xdr:colOff>133350</xdr:colOff>
      <xdr:row>5</xdr:row>
      <xdr:rowOff>9525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A6F450D9-7367-47D8-B377-85C71A2CF24E}"/>
            </a:ext>
          </a:extLst>
        </xdr:cNvPr>
        <xdr:cNvSpPr txBox="1"/>
      </xdr:nvSpPr>
      <xdr:spPr>
        <a:xfrm>
          <a:off x="8553451" y="333375"/>
          <a:ext cx="1638299" cy="6953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US" sz="1100"/>
            <a:t>LOGO</a:t>
          </a:r>
        </a:p>
      </xdr:txBody>
    </xdr:sp>
    <xdr:clientData/>
  </xdr:twoCellAnchor>
  <xdr:twoCellAnchor editAs="oneCell">
    <xdr:from>
      <xdr:col>3</xdr:col>
      <xdr:colOff>895351</xdr:colOff>
      <xdr:row>1</xdr:row>
      <xdr:rowOff>123825</xdr:rowOff>
    </xdr:from>
    <xdr:to>
      <xdr:col>5</xdr:col>
      <xdr:colOff>211612</xdr:colOff>
      <xdr:row>5</xdr:row>
      <xdr:rowOff>145050</xdr:rowOff>
    </xdr:to>
    <xdr:pic>
      <xdr:nvPicPr>
        <xdr:cNvPr id="2" name="Imagen 1" descr="Logotipo&#10;&#10;Descripción generada automáticamente">
          <a:extLst>
            <a:ext uri="{FF2B5EF4-FFF2-40B4-BE49-F238E27FC236}">
              <a16:creationId xmlns:a16="http://schemas.microsoft.com/office/drawing/2014/main" id="{E5775E90-B854-4179-B077-1E90D1ADF2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77376" y="314325"/>
          <a:ext cx="1602261" cy="10404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628651</xdr:colOff>
      <xdr:row>2</xdr:row>
      <xdr:rowOff>152400</xdr:rowOff>
    </xdr:from>
    <xdr:to>
      <xdr:col>17</xdr:col>
      <xdr:colOff>609600</xdr:colOff>
      <xdr:row>5</xdr:row>
      <xdr:rowOff>19050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E4F28811-DE6B-4AFA-A30F-79DE105F35B4}"/>
            </a:ext>
          </a:extLst>
        </xdr:cNvPr>
        <xdr:cNvSpPr txBox="1"/>
      </xdr:nvSpPr>
      <xdr:spPr>
        <a:xfrm>
          <a:off x="18307051" y="533400"/>
          <a:ext cx="1504949" cy="6953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US" sz="1100"/>
            <a:t>LOGO</a:t>
          </a:r>
        </a:p>
      </xdr:txBody>
    </xdr:sp>
    <xdr:clientData/>
  </xdr:twoCellAnchor>
  <xdr:twoCellAnchor editAs="oneCell">
    <xdr:from>
      <xdr:col>15</xdr:col>
      <xdr:colOff>600076</xdr:colOff>
      <xdr:row>1</xdr:row>
      <xdr:rowOff>104775</xdr:rowOff>
    </xdr:from>
    <xdr:to>
      <xdr:col>17</xdr:col>
      <xdr:colOff>459262</xdr:colOff>
      <xdr:row>5</xdr:row>
      <xdr:rowOff>126000</xdr:rowOff>
    </xdr:to>
    <xdr:pic>
      <xdr:nvPicPr>
        <xdr:cNvPr id="3" name="Imagen 2" descr="Logotipo&#10;&#10;Descripción generada automáticamente">
          <a:extLst>
            <a:ext uri="{FF2B5EF4-FFF2-40B4-BE49-F238E27FC236}">
              <a16:creationId xmlns:a16="http://schemas.microsoft.com/office/drawing/2014/main" id="{5D018C60-409D-4A1F-870D-8A74054A09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554576" y="295275"/>
          <a:ext cx="1602261" cy="10404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647700</xdr:colOff>
      <xdr:row>0</xdr:row>
      <xdr:rowOff>57150</xdr:rowOff>
    </xdr:from>
    <xdr:to>
      <xdr:col>13</xdr:col>
      <xdr:colOff>676274</xdr:colOff>
      <xdr:row>6</xdr:row>
      <xdr:rowOff>0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DA90AB8D-F807-40B9-9755-7FF1AF034BC0}"/>
            </a:ext>
          </a:extLst>
        </xdr:cNvPr>
        <xdr:cNvSpPr txBox="1"/>
      </xdr:nvSpPr>
      <xdr:spPr>
        <a:xfrm>
          <a:off x="14582775" y="57150"/>
          <a:ext cx="1943099" cy="11049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endParaRPr lang="es-US" sz="1100"/>
        </a:p>
      </xdr:txBody>
    </xdr:sp>
    <xdr:clientData/>
  </xdr:twoCellAnchor>
  <xdr:twoCellAnchor editAs="oneCell">
    <xdr:from>
      <xdr:col>11</xdr:col>
      <xdr:colOff>838201</xdr:colOff>
      <xdr:row>0</xdr:row>
      <xdr:rowOff>57150</xdr:rowOff>
    </xdr:from>
    <xdr:to>
      <xdr:col>13</xdr:col>
      <xdr:colOff>525937</xdr:colOff>
      <xdr:row>5</xdr:row>
      <xdr:rowOff>97425</xdr:rowOff>
    </xdr:to>
    <xdr:pic>
      <xdr:nvPicPr>
        <xdr:cNvPr id="3" name="Imagen 2" descr="Logotipo&#10;&#10;Descripción generada automáticamente">
          <a:extLst>
            <a:ext uri="{FF2B5EF4-FFF2-40B4-BE49-F238E27FC236}">
              <a16:creationId xmlns:a16="http://schemas.microsoft.com/office/drawing/2014/main" id="{F3CF21B3-2F1B-4CBF-9114-D49B204BC9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6" y="57150"/>
          <a:ext cx="1602261" cy="10404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3:P93"/>
  <sheetViews>
    <sheetView showGridLines="0" topLeftCell="A19" workbookViewId="0">
      <selection activeCell="E91" sqref="E91"/>
    </sheetView>
  </sheetViews>
  <sheetFormatPr defaultColWidth="11.42578125" defaultRowHeight="15" x14ac:dyDescent="0.25"/>
  <cols>
    <col min="3" max="3" width="105.85546875" customWidth="1"/>
    <col min="4" max="4" width="17.5703125" customWidth="1"/>
    <col min="5" max="5" width="16.7109375" customWidth="1"/>
  </cols>
  <sheetData>
    <row r="3" spans="2:16" ht="28.5" customHeight="1" x14ac:dyDescent="0.25">
      <c r="C3" s="38" t="s">
        <v>111</v>
      </c>
      <c r="D3" s="38"/>
      <c r="E3" s="38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spans="2:16" ht="21" customHeight="1" x14ac:dyDescent="0.25">
      <c r="C4" s="38" t="s">
        <v>98</v>
      </c>
      <c r="D4" s="38"/>
      <c r="E4" s="38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2:16" ht="15.75" x14ac:dyDescent="0.25">
      <c r="C5" s="44">
        <v>2024</v>
      </c>
      <c r="D5" s="45"/>
      <c r="E5" s="45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</row>
    <row r="6" spans="2:16" ht="15.75" customHeight="1" x14ac:dyDescent="0.25">
      <c r="C6" s="39" t="s">
        <v>76</v>
      </c>
      <c r="D6" s="40"/>
      <c r="E6" s="40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</row>
    <row r="7" spans="2:16" ht="15.75" customHeight="1" x14ac:dyDescent="0.25">
      <c r="B7" s="14"/>
      <c r="C7" s="39" t="s">
        <v>77</v>
      </c>
      <c r="D7" s="40"/>
      <c r="E7" s="40"/>
      <c r="F7" s="14"/>
      <c r="G7" s="13"/>
      <c r="H7" s="13"/>
      <c r="I7" s="13"/>
      <c r="J7" s="13"/>
      <c r="K7" s="13"/>
      <c r="L7" s="13"/>
      <c r="M7" s="13"/>
      <c r="N7" s="13"/>
      <c r="O7" s="13"/>
      <c r="P7" s="13"/>
    </row>
    <row r="9" spans="2:16" ht="15" customHeight="1" x14ac:dyDescent="0.25">
      <c r="C9" s="41" t="s">
        <v>66</v>
      </c>
      <c r="D9" s="42" t="s">
        <v>94</v>
      </c>
      <c r="E9" s="42" t="s">
        <v>93</v>
      </c>
      <c r="F9" s="8"/>
    </row>
    <row r="10" spans="2:16" ht="23.25" customHeight="1" x14ac:dyDescent="0.25">
      <c r="C10" s="41"/>
      <c r="D10" s="43"/>
      <c r="E10" s="43"/>
      <c r="F10" s="8"/>
    </row>
    <row r="11" spans="2:16" x14ac:dyDescent="0.25">
      <c r="C11" s="1" t="s">
        <v>0</v>
      </c>
      <c r="D11" s="2"/>
      <c r="E11" s="2"/>
      <c r="F11" s="8"/>
    </row>
    <row r="12" spans="2:16" x14ac:dyDescent="0.25">
      <c r="C12" s="3" t="s">
        <v>1</v>
      </c>
      <c r="D12" s="4">
        <f>D13+D14+D17</f>
        <v>220213213</v>
      </c>
      <c r="E12" s="4">
        <f>E13+E14+E17</f>
        <v>220213213</v>
      </c>
      <c r="F12" s="8"/>
    </row>
    <row r="13" spans="2:16" x14ac:dyDescent="0.25">
      <c r="C13" s="5" t="s">
        <v>2</v>
      </c>
      <c r="D13" s="6">
        <v>169461162</v>
      </c>
      <c r="E13" s="6">
        <v>169461162</v>
      </c>
      <c r="F13" s="8"/>
    </row>
    <row r="14" spans="2:16" x14ac:dyDescent="0.25">
      <c r="C14" s="5" t="s">
        <v>3</v>
      </c>
      <c r="D14" s="6">
        <v>28002000</v>
      </c>
      <c r="E14" s="6">
        <v>28002000</v>
      </c>
      <c r="F14" s="8"/>
    </row>
    <row r="15" spans="2:16" x14ac:dyDescent="0.25">
      <c r="C15" s="5" t="s">
        <v>4</v>
      </c>
      <c r="D15" s="6"/>
      <c r="F15" s="8"/>
    </row>
    <row r="16" spans="2:16" x14ac:dyDescent="0.25">
      <c r="C16" s="5" t="s">
        <v>5</v>
      </c>
      <c r="D16" s="6"/>
      <c r="F16" s="8"/>
    </row>
    <row r="17" spans="3:6" x14ac:dyDescent="0.25">
      <c r="C17" s="5" t="s">
        <v>6</v>
      </c>
      <c r="D17" s="6">
        <v>22750051</v>
      </c>
      <c r="E17" s="6">
        <v>22750051</v>
      </c>
      <c r="F17" s="8"/>
    </row>
    <row r="18" spans="3:6" x14ac:dyDescent="0.25">
      <c r="C18" s="3" t="s">
        <v>7</v>
      </c>
      <c r="D18" s="4">
        <f>D19+D20+D21+D22+D23+D24+D25+D26+D27</f>
        <v>78140849</v>
      </c>
      <c r="E18" s="4">
        <f>E19+E20+E21+E22+E23+E24+E25+E26+E27</f>
        <v>91527179</v>
      </c>
      <c r="F18" s="8"/>
    </row>
    <row r="19" spans="3:6" x14ac:dyDescent="0.25">
      <c r="C19" s="5" t="s">
        <v>8</v>
      </c>
      <c r="D19" s="6">
        <v>23080000</v>
      </c>
      <c r="E19" s="6">
        <v>24785000</v>
      </c>
      <c r="F19" s="8"/>
    </row>
    <row r="20" spans="3:6" x14ac:dyDescent="0.25">
      <c r="C20" s="5" t="s">
        <v>9</v>
      </c>
      <c r="D20" s="6">
        <v>515000</v>
      </c>
      <c r="E20" s="6">
        <v>465000</v>
      </c>
      <c r="F20" s="8"/>
    </row>
    <row r="21" spans="3:6" x14ac:dyDescent="0.25">
      <c r="C21" s="5" t="s">
        <v>10</v>
      </c>
      <c r="D21" s="6">
        <v>4200000</v>
      </c>
      <c r="E21" s="6">
        <v>16610000</v>
      </c>
      <c r="F21" s="8"/>
    </row>
    <row r="22" spans="3:6" x14ac:dyDescent="0.25">
      <c r="C22" s="5" t="s">
        <v>11</v>
      </c>
      <c r="D22" s="6">
        <v>2720000</v>
      </c>
      <c r="E22" s="6">
        <v>2850000</v>
      </c>
      <c r="F22" s="8"/>
    </row>
    <row r="23" spans="3:6" x14ac:dyDescent="0.25">
      <c r="C23" s="5" t="s">
        <v>12</v>
      </c>
      <c r="D23" s="6">
        <v>22629000</v>
      </c>
      <c r="E23" s="6">
        <v>21222000</v>
      </c>
    </row>
    <row r="24" spans="3:6" x14ac:dyDescent="0.25">
      <c r="C24" s="5" t="s">
        <v>13</v>
      </c>
      <c r="D24" s="6">
        <v>13300000</v>
      </c>
      <c r="E24" s="6">
        <v>13310830</v>
      </c>
    </row>
    <row r="25" spans="3:6" x14ac:dyDescent="0.25">
      <c r="C25" s="5" t="s">
        <v>14</v>
      </c>
      <c r="D25" s="6">
        <v>4900000</v>
      </c>
      <c r="E25" s="6">
        <v>3687500</v>
      </c>
    </row>
    <row r="26" spans="3:6" x14ac:dyDescent="0.25">
      <c r="C26" s="5" t="s">
        <v>15</v>
      </c>
      <c r="D26" s="6">
        <v>3896849</v>
      </c>
      <c r="E26" s="6">
        <v>4541349</v>
      </c>
    </row>
    <row r="27" spans="3:6" x14ac:dyDescent="0.25">
      <c r="C27" s="5" t="s">
        <v>16</v>
      </c>
      <c r="D27" s="6">
        <v>2900000</v>
      </c>
      <c r="E27" s="6">
        <v>4055500</v>
      </c>
    </row>
    <row r="28" spans="3:6" x14ac:dyDescent="0.25">
      <c r="C28" s="3" t="s">
        <v>17</v>
      </c>
      <c r="D28" s="4">
        <f>D29+D30+D31+D32+D33+D34+D35+D37</f>
        <v>15617678</v>
      </c>
      <c r="E28" s="4">
        <f>E29+E30+E31+E32+E33+E34+E35+E37</f>
        <v>16741348</v>
      </c>
    </row>
    <row r="29" spans="3:6" x14ac:dyDescent="0.25">
      <c r="C29" s="5" t="s">
        <v>18</v>
      </c>
      <c r="D29" s="6">
        <v>665000</v>
      </c>
      <c r="E29" s="6">
        <v>916300</v>
      </c>
    </row>
    <row r="30" spans="3:6" x14ac:dyDescent="0.25">
      <c r="C30" s="5" t="s">
        <v>19</v>
      </c>
      <c r="D30" s="6">
        <v>448000</v>
      </c>
      <c r="E30" s="6">
        <v>366600</v>
      </c>
    </row>
    <row r="31" spans="3:6" x14ac:dyDescent="0.25">
      <c r="C31" s="5" t="s">
        <v>20</v>
      </c>
      <c r="D31" s="6">
        <v>675000</v>
      </c>
      <c r="E31" s="6">
        <v>540000</v>
      </c>
    </row>
    <row r="32" spans="3:6" x14ac:dyDescent="0.25">
      <c r="C32" s="5" t="s">
        <v>21</v>
      </c>
      <c r="D32" s="6">
        <v>10000</v>
      </c>
      <c r="E32" s="6">
        <v>4000</v>
      </c>
    </row>
    <row r="33" spans="3:5" x14ac:dyDescent="0.25">
      <c r="C33" s="5" t="s">
        <v>22</v>
      </c>
      <c r="D33" s="6">
        <v>700000</v>
      </c>
      <c r="E33" s="6">
        <v>563400</v>
      </c>
    </row>
    <row r="34" spans="3:5" x14ac:dyDescent="0.25">
      <c r="C34" s="5" t="s">
        <v>23</v>
      </c>
      <c r="D34" s="6">
        <v>119678</v>
      </c>
      <c r="E34" s="6">
        <v>399678</v>
      </c>
    </row>
    <row r="35" spans="3:5" x14ac:dyDescent="0.25">
      <c r="C35" s="5" t="s">
        <v>24</v>
      </c>
      <c r="D35" s="6">
        <v>11100000</v>
      </c>
      <c r="E35" s="6">
        <v>11397200</v>
      </c>
    </row>
    <row r="36" spans="3:5" x14ac:dyDescent="0.25">
      <c r="C36" s="5" t="s">
        <v>25</v>
      </c>
      <c r="D36" s="6"/>
      <c r="E36" s="6"/>
    </row>
    <row r="37" spans="3:5" x14ac:dyDescent="0.25">
      <c r="C37" s="5" t="s">
        <v>26</v>
      </c>
      <c r="D37" s="6">
        <v>1900000</v>
      </c>
      <c r="E37" s="6">
        <v>2554170</v>
      </c>
    </row>
    <row r="38" spans="3:5" x14ac:dyDescent="0.25">
      <c r="C38" s="3" t="s">
        <v>27</v>
      </c>
      <c r="D38" s="4">
        <f>D39</f>
        <v>50000</v>
      </c>
      <c r="E38" s="4">
        <f>E39</f>
        <v>50000</v>
      </c>
    </row>
    <row r="39" spans="3:5" x14ac:dyDescent="0.25">
      <c r="C39" s="5" t="s">
        <v>28</v>
      </c>
      <c r="D39" s="6">
        <v>50000</v>
      </c>
      <c r="E39" s="6">
        <v>50000</v>
      </c>
    </row>
    <row r="40" spans="3:5" x14ac:dyDescent="0.25">
      <c r="C40" s="5" t="s">
        <v>29</v>
      </c>
      <c r="D40" s="6"/>
    </row>
    <row r="41" spans="3:5" x14ac:dyDescent="0.25">
      <c r="C41" s="5" t="s">
        <v>30</v>
      </c>
      <c r="D41" s="6"/>
    </row>
    <row r="42" spans="3:5" x14ac:dyDescent="0.25">
      <c r="C42" s="5" t="s">
        <v>31</v>
      </c>
      <c r="D42" s="6"/>
    </row>
    <row r="43" spans="3:5" x14ac:dyDescent="0.25">
      <c r="C43" s="5" t="s">
        <v>32</v>
      </c>
      <c r="D43" s="6"/>
    </row>
    <row r="44" spans="3:5" x14ac:dyDescent="0.25">
      <c r="C44" s="5" t="s">
        <v>33</v>
      </c>
      <c r="D44" s="6"/>
    </row>
    <row r="45" spans="3:5" x14ac:dyDescent="0.25">
      <c r="C45" s="5" t="s">
        <v>34</v>
      </c>
      <c r="D45" s="6"/>
    </row>
    <row r="46" spans="3:5" x14ac:dyDescent="0.25">
      <c r="C46" s="5" t="s">
        <v>35</v>
      </c>
      <c r="D46" s="6"/>
    </row>
    <row r="47" spans="3:5" x14ac:dyDescent="0.25">
      <c r="C47" s="3" t="s">
        <v>36</v>
      </c>
      <c r="D47" s="4"/>
    </row>
    <row r="48" spans="3:5" x14ac:dyDescent="0.25">
      <c r="C48" s="5" t="s">
        <v>37</v>
      </c>
      <c r="D48" s="6"/>
    </row>
    <row r="49" spans="3:5" x14ac:dyDescent="0.25">
      <c r="C49" s="5" t="s">
        <v>38</v>
      </c>
      <c r="D49" s="6"/>
    </row>
    <row r="50" spans="3:5" x14ac:dyDescent="0.25">
      <c r="C50" s="5" t="s">
        <v>39</v>
      </c>
      <c r="D50" s="6"/>
    </row>
    <row r="51" spans="3:5" x14ac:dyDescent="0.25">
      <c r="C51" s="5" t="s">
        <v>40</v>
      </c>
      <c r="D51" s="6"/>
    </row>
    <row r="52" spans="3:5" x14ac:dyDescent="0.25">
      <c r="C52" s="5" t="s">
        <v>41</v>
      </c>
      <c r="D52" s="6"/>
    </row>
    <row r="53" spans="3:5" x14ac:dyDescent="0.25">
      <c r="C53" s="5" t="s">
        <v>42</v>
      </c>
      <c r="D53" s="6"/>
    </row>
    <row r="54" spans="3:5" x14ac:dyDescent="0.25">
      <c r="C54" s="3" t="s">
        <v>43</v>
      </c>
      <c r="D54" s="4">
        <f>D55+D58+D59</f>
        <v>3000000</v>
      </c>
      <c r="E54" s="4">
        <f>E55+E58+E59+E56+E62</f>
        <v>3000000</v>
      </c>
    </row>
    <row r="55" spans="3:5" x14ac:dyDescent="0.25">
      <c r="C55" s="5" t="s">
        <v>44</v>
      </c>
      <c r="D55" s="6">
        <v>1900000</v>
      </c>
      <c r="E55" s="6">
        <v>2335000</v>
      </c>
    </row>
    <row r="56" spans="3:5" x14ac:dyDescent="0.25">
      <c r="C56" s="5" t="s">
        <v>45</v>
      </c>
      <c r="D56" s="6"/>
      <c r="E56" s="6">
        <v>168000</v>
      </c>
    </row>
    <row r="57" spans="3:5" x14ac:dyDescent="0.25">
      <c r="C57" s="5" t="s">
        <v>46</v>
      </c>
      <c r="D57" s="6"/>
      <c r="E57" s="6"/>
    </row>
    <row r="58" spans="3:5" x14ac:dyDescent="0.25">
      <c r="C58" s="5" t="s">
        <v>47</v>
      </c>
      <c r="D58" s="6"/>
      <c r="E58" s="6">
        <v>27000</v>
      </c>
    </row>
    <row r="59" spans="3:5" x14ac:dyDescent="0.25">
      <c r="C59" s="5" t="s">
        <v>48</v>
      </c>
      <c r="D59" s="6">
        <v>1100000</v>
      </c>
      <c r="E59" s="6">
        <v>420000</v>
      </c>
    </row>
    <row r="60" spans="3:5" x14ac:dyDescent="0.25">
      <c r="C60" s="5" t="s">
        <v>49</v>
      </c>
      <c r="D60" s="6"/>
    </row>
    <row r="61" spans="3:5" x14ac:dyDescent="0.25">
      <c r="C61" s="5" t="s">
        <v>50</v>
      </c>
      <c r="D61" s="6"/>
    </row>
    <row r="62" spans="3:5" x14ac:dyDescent="0.25">
      <c r="C62" s="5" t="s">
        <v>51</v>
      </c>
      <c r="D62" s="6"/>
      <c r="E62" s="6">
        <v>50000</v>
      </c>
    </row>
    <row r="63" spans="3:5" x14ac:dyDescent="0.25">
      <c r="C63" s="5" t="s">
        <v>52</v>
      </c>
      <c r="D63" s="6"/>
    </row>
    <row r="64" spans="3:5" x14ac:dyDescent="0.25">
      <c r="C64" s="3" t="s">
        <v>53</v>
      </c>
      <c r="D64" s="4"/>
    </row>
    <row r="65" spans="3:5" x14ac:dyDescent="0.25">
      <c r="C65" s="5" t="s">
        <v>54</v>
      </c>
      <c r="D65" s="6"/>
    </row>
    <row r="66" spans="3:5" x14ac:dyDescent="0.25">
      <c r="C66" s="5" t="s">
        <v>55</v>
      </c>
      <c r="D66" s="6"/>
    </row>
    <row r="67" spans="3:5" x14ac:dyDescent="0.25">
      <c r="C67" s="5" t="s">
        <v>56</v>
      </c>
      <c r="D67" s="6"/>
    </row>
    <row r="68" spans="3:5" x14ac:dyDescent="0.25">
      <c r="C68" s="5" t="s">
        <v>57</v>
      </c>
      <c r="D68" s="6"/>
    </row>
    <row r="69" spans="3:5" x14ac:dyDescent="0.25">
      <c r="C69" s="3" t="s">
        <v>58</v>
      </c>
      <c r="D69" s="4"/>
    </row>
    <row r="70" spans="3:5" x14ac:dyDescent="0.25">
      <c r="C70" s="5" t="s">
        <v>59</v>
      </c>
      <c r="D70" s="6"/>
    </row>
    <row r="71" spans="3:5" x14ac:dyDescent="0.25">
      <c r="C71" s="5" t="s">
        <v>60</v>
      </c>
      <c r="D71" s="6"/>
    </row>
    <row r="72" spans="3:5" x14ac:dyDescent="0.25">
      <c r="C72" s="3" t="s">
        <v>61</v>
      </c>
      <c r="D72" s="4"/>
    </row>
    <row r="73" spans="3:5" x14ac:dyDescent="0.25">
      <c r="C73" s="5" t="s">
        <v>62</v>
      </c>
      <c r="D73" s="6"/>
    </row>
    <row r="74" spans="3:5" x14ac:dyDescent="0.25">
      <c r="C74" s="5" t="s">
        <v>63</v>
      </c>
      <c r="D74" s="6"/>
    </row>
    <row r="75" spans="3:5" x14ac:dyDescent="0.25">
      <c r="C75" s="5" t="s">
        <v>64</v>
      </c>
      <c r="D75" s="6"/>
    </row>
    <row r="76" spans="3:5" x14ac:dyDescent="0.25">
      <c r="C76" s="1" t="s">
        <v>67</v>
      </c>
      <c r="D76" s="2"/>
      <c r="E76" s="2"/>
    </row>
    <row r="77" spans="3:5" x14ac:dyDescent="0.25">
      <c r="C77" s="3" t="s">
        <v>68</v>
      </c>
      <c r="D77" s="4"/>
    </row>
    <row r="78" spans="3:5" x14ac:dyDescent="0.25">
      <c r="C78" s="5" t="s">
        <v>69</v>
      </c>
      <c r="D78" s="6"/>
    </row>
    <row r="79" spans="3:5" x14ac:dyDescent="0.25">
      <c r="C79" s="5" t="s">
        <v>70</v>
      </c>
      <c r="D79" s="6"/>
    </row>
    <row r="80" spans="3:5" x14ac:dyDescent="0.25">
      <c r="C80" s="3" t="s">
        <v>71</v>
      </c>
      <c r="D80" s="4"/>
    </row>
    <row r="81" spans="3:5" x14ac:dyDescent="0.25">
      <c r="C81" s="5" t="s">
        <v>72</v>
      </c>
      <c r="D81" s="6"/>
    </row>
    <row r="82" spans="3:5" x14ac:dyDescent="0.25">
      <c r="C82" s="5" t="s">
        <v>73</v>
      </c>
      <c r="D82" s="6"/>
    </row>
    <row r="83" spans="3:5" x14ac:dyDescent="0.25">
      <c r="C83" s="3" t="s">
        <v>74</v>
      </c>
      <c r="D83" s="4"/>
    </row>
    <row r="84" spans="3:5" x14ac:dyDescent="0.25">
      <c r="C84" s="5" t="s">
        <v>75</v>
      </c>
      <c r="D84" s="6"/>
    </row>
    <row r="85" spans="3:5" x14ac:dyDescent="0.25">
      <c r="C85" s="9" t="s">
        <v>65</v>
      </c>
      <c r="D85" s="23">
        <f>D54+D38+D28+D18+D12</f>
        <v>317021740</v>
      </c>
      <c r="E85" s="23">
        <f>E54+E38+E28+E18+E12</f>
        <v>331531740</v>
      </c>
    </row>
    <row r="90" spans="3:5" ht="15.75" thickBot="1" x14ac:dyDescent="0.3"/>
    <row r="91" spans="3:5" ht="26.25" customHeight="1" thickBot="1" x14ac:dyDescent="0.3">
      <c r="C91" s="22" t="s">
        <v>95</v>
      </c>
    </row>
    <row r="92" spans="3:5" ht="33.75" customHeight="1" thickBot="1" x14ac:dyDescent="0.3">
      <c r="C92" s="20" t="s">
        <v>96</v>
      </c>
    </row>
    <row r="93" spans="3:5" ht="60.75" thickBot="1" x14ac:dyDescent="0.3">
      <c r="C93" s="21" t="s">
        <v>97</v>
      </c>
    </row>
  </sheetData>
  <mergeCells count="8">
    <mergeCell ref="C4:E4"/>
    <mergeCell ref="C3:E3"/>
    <mergeCell ref="C7:E7"/>
    <mergeCell ref="C9:C10"/>
    <mergeCell ref="D9:D10"/>
    <mergeCell ref="E9:E10"/>
    <mergeCell ref="C6:E6"/>
    <mergeCell ref="C5:E5"/>
  </mergeCells>
  <pageMargins left="0.31496062992125984" right="0.31496062992125984" top="0.74803149606299213" bottom="0.74803149606299213" header="0.31496062992125984" footer="0.31496062992125984"/>
  <pageSetup scale="47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C3:S98"/>
  <sheetViews>
    <sheetView showGridLines="0" topLeftCell="D69" workbookViewId="0">
      <selection activeCell="Q85" sqref="Q85"/>
    </sheetView>
  </sheetViews>
  <sheetFormatPr defaultColWidth="11.42578125" defaultRowHeight="15" x14ac:dyDescent="0.25"/>
  <cols>
    <col min="1" max="1" width="4" customWidth="1"/>
    <col min="2" max="2" width="3.140625" customWidth="1"/>
    <col min="3" max="3" width="76.42578125" customWidth="1"/>
    <col min="4" max="4" width="19.5703125" customWidth="1"/>
    <col min="5" max="5" width="16.7109375" customWidth="1"/>
    <col min="6" max="6" width="13.140625" customWidth="1"/>
    <col min="7" max="7" width="15.140625" customWidth="1"/>
    <col min="8" max="9" width="13.28515625" customWidth="1"/>
    <col min="10" max="10" width="13.7109375" customWidth="1"/>
    <col min="11" max="11" width="13" customWidth="1"/>
    <col min="12" max="12" width="12.85546875" customWidth="1"/>
    <col min="13" max="13" width="13.140625" customWidth="1"/>
    <col min="14" max="14" width="12.85546875" customWidth="1"/>
    <col min="15" max="15" width="14" customWidth="1"/>
    <col min="16" max="16" width="12.7109375" bestFit="1" customWidth="1"/>
    <col min="17" max="17" width="13.42578125" customWidth="1"/>
    <col min="18" max="18" width="15.5703125" customWidth="1"/>
  </cols>
  <sheetData>
    <row r="3" spans="3:19" ht="28.5" customHeight="1" x14ac:dyDescent="0.25">
      <c r="C3" s="50" t="s">
        <v>111</v>
      </c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</row>
    <row r="4" spans="3:19" ht="21" customHeight="1" x14ac:dyDescent="0.25">
      <c r="C4" s="52" t="s">
        <v>99</v>
      </c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</row>
    <row r="5" spans="3:19" ht="15.75" x14ac:dyDescent="0.25">
      <c r="C5" s="44">
        <v>2024</v>
      </c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  <c r="Q5" s="45"/>
      <c r="R5" s="45"/>
    </row>
    <row r="6" spans="3:19" ht="15.75" customHeight="1" x14ac:dyDescent="0.25">
      <c r="C6" s="39" t="s">
        <v>92</v>
      </c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R6" s="40"/>
    </row>
    <row r="7" spans="3:19" ht="15.75" customHeight="1" x14ac:dyDescent="0.25">
      <c r="C7" s="40" t="s">
        <v>77</v>
      </c>
      <c r="D7" s="40"/>
      <c r="E7" s="40"/>
      <c r="F7" s="40"/>
      <c r="G7" s="40"/>
      <c r="H7" s="40"/>
      <c r="I7" s="40"/>
      <c r="J7" s="40"/>
      <c r="K7" s="40"/>
      <c r="L7" s="40"/>
      <c r="M7" s="40"/>
      <c r="N7" s="40"/>
      <c r="O7" s="40"/>
      <c r="P7" s="40"/>
      <c r="Q7" s="40"/>
      <c r="R7" s="40"/>
    </row>
    <row r="9" spans="3:19" ht="25.5" customHeight="1" x14ac:dyDescent="0.25">
      <c r="C9" s="41" t="s">
        <v>66</v>
      </c>
      <c r="D9" s="42" t="s">
        <v>94</v>
      </c>
      <c r="E9" s="42" t="s">
        <v>93</v>
      </c>
      <c r="F9" s="47" t="s">
        <v>91</v>
      </c>
      <c r="G9" s="48"/>
      <c r="H9" s="48"/>
      <c r="I9" s="48"/>
      <c r="J9" s="48"/>
      <c r="K9" s="48"/>
      <c r="L9" s="48"/>
      <c r="M9" s="48"/>
      <c r="N9" s="48"/>
      <c r="O9" s="48"/>
      <c r="P9" s="48"/>
      <c r="Q9" s="48"/>
      <c r="R9" s="49"/>
    </row>
    <row r="10" spans="3:19" x14ac:dyDescent="0.25">
      <c r="C10" s="41"/>
      <c r="D10" s="43"/>
      <c r="E10" s="43"/>
      <c r="F10" s="15" t="s">
        <v>79</v>
      </c>
      <c r="G10" s="15" t="s">
        <v>80</v>
      </c>
      <c r="H10" s="15" t="s">
        <v>81</v>
      </c>
      <c r="I10" s="15" t="s">
        <v>82</v>
      </c>
      <c r="J10" s="16" t="s">
        <v>83</v>
      </c>
      <c r="K10" s="15" t="s">
        <v>84</v>
      </c>
      <c r="L10" s="16" t="s">
        <v>85</v>
      </c>
      <c r="M10" s="15" t="s">
        <v>86</v>
      </c>
      <c r="N10" s="15" t="s">
        <v>87</v>
      </c>
      <c r="O10" s="15" t="s">
        <v>88</v>
      </c>
      <c r="P10" s="15" t="s">
        <v>89</v>
      </c>
      <c r="Q10" s="16" t="s">
        <v>90</v>
      </c>
      <c r="R10" s="15" t="s">
        <v>78</v>
      </c>
    </row>
    <row r="11" spans="3:19" x14ac:dyDescent="0.25">
      <c r="C11" s="1" t="s">
        <v>0</v>
      </c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</row>
    <row r="12" spans="3:19" x14ac:dyDescent="0.25">
      <c r="C12" s="3" t="s">
        <v>1</v>
      </c>
      <c r="D12" s="25">
        <f>D13+D14+D17</f>
        <v>220213213</v>
      </c>
      <c r="E12" s="25">
        <f>E13+E14+E17</f>
        <v>220213213</v>
      </c>
      <c r="F12" s="25">
        <f t="shared" ref="F12:Q12" si="0">F13+F14+F17</f>
        <v>14296930.99</v>
      </c>
      <c r="G12" s="25">
        <f t="shared" si="0"/>
        <v>14372212.880000001</v>
      </c>
      <c r="H12" s="25">
        <f t="shared" si="0"/>
        <v>15495728.01</v>
      </c>
      <c r="I12" s="25">
        <f t="shared" si="0"/>
        <v>14490865.289999999</v>
      </c>
      <c r="J12" s="25">
        <f t="shared" si="0"/>
        <v>26405869.960000001</v>
      </c>
      <c r="K12" s="25">
        <f t="shared" si="0"/>
        <v>14862186.59</v>
      </c>
      <c r="L12" s="25">
        <f t="shared" si="0"/>
        <v>14790923.1</v>
      </c>
      <c r="M12" s="25">
        <f t="shared" si="0"/>
        <v>14902826.799999999</v>
      </c>
      <c r="N12" s="25">
        <f t="shared" si="0"/>
        <v>14468897.75</v>
      </c>
      <c r="O12" s="25">
        <f t="shared" si="0"/>
        <v>28762097.880000003</v>
      </c>
      <c r="P12" s="25">
        <f t="shared" si="0"/>
        <v>27504141.890000001</v>
      </c>
      <c r="Q12" s="25">
        <f t="shared" si="0"/>
        <v>0</v>
      </c>
      <c r="R12" s="25">
        <f>SUM(F12:Q12)</f>
        <v>200352681.13999999</v>
      </c>
    </row>
    <row r="13" spans="3:19" x14ac:dyDescent="0.25">
      <c r="C13" s="5" t="s">
        <v>2</v>
      </c>
      <c r="D13" s="24">
        <f>145407162+6404000+12450000+3700000+1500000</f>
        <v>169461162</v>
      </c>
      <c r="E13" s="24">
        <v>169461162</v>
      </c>
      <c r="F13" s="24">
        <v>12143507.34</v>
      </c>
      <c r="G13" s="24">
        <f>11376807.09+827000</f>
        <v>12203807.09</v>
      </c>
      <c r="H13" s="24">
        <v>13399653.869999999</v>
      </c>
      <c r="I13" s="24">
        <f>11494685.07+563000+286558.37</f>
        <v>12344243.439999999</v>
      </c>
      <c r="J13" s="24">
        <f>11461835.99+400000+690642+297258+11464509.6</f>
        <v>24314245.59</v>
      </c>
      <c r="K13" s="24">
        <v>12681623.6</v>
      </c>
      <c r="L13" s="24">
        <v>12593683.199999999</v>
      </c>
      <c r="M13" s="24">
        <v>12717348.529999999</v>
      </c>
      <c r="N13" s="24">
        <v>12326589.609999999</v>
      </c>
      <c r="O13" s="24">
        <v>14426669.439999999</v>
      </c>
      <c r="P13" s="24">
        <f>12252772.94+64000+27333.33+12030802+963548.69</f>
        <v>25338456.960000001</v>
      </c>
      <c r="Q13" s="24">
        <v>0</v>
      </c>
      <c r="R13" s="24">
        <f>SUM(F13:Q13)</f>
        <v>164489828.67000002</v>
      </c>
    </row>
    <row r="14" spans="3:19" x14ac:dyDescent="0.25">
      <c r="C14" s="5" t="s">
        <v>3</v>
      </c>
      <c r="D14" s="24">
        <f>4002000+12000000+12000000</f>
        <v>28002000</v>
      </c>
      <c r="E14" s="24">
        <f>4002000+12000000+12000000</f>
        <v>28002000</v>
      </c>
      <c r="F14" s="24">
        <v>333500</v>
      </c>
      <c r="G14" s="24">
        <v>333500</v>
      </c>
      <c r="H14" s="24">
        <v>333500</v>
      </c>
      <c r="I14" s="24">
        <v>333500</v>
      </c>
      <c r="J14" s="24">
        <v>308500</v>
      </c>
      <c r="K14" s="24">
        <v>308500</v>
      </c>
      <c r="L14" s="24">
        <v>333500</v>
      </c>
      <c r="M14" s="24">
        <v>333500</v>
      </c>
      <c r="N14" s="24">
        <v>288500</v>
      </c>
      <c r="O14" s="24">
        <v>12492399.27</v>
      </c>
      <c r="P14" s="24">
        <v>309500</v>
      </c>
      <c r="Q14" s="24">
        <v>0</v>
      </c>
      <c r="R14" s="24">
        <f>SUM(F14:Q14)</f>
        <v>15708399.27</v>
      </c>
    </row>
    <row r="15" spans="3:19" x14ac:dyDescent="0.25">
      <c r="C15" s="5" t="s">
        <v>4</v>
      </c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17"/>
    </row>
    <row r="16" spans="3:19" x14ac:dyDescent="0.25">
      <c r="C16" s="5" t="s">
        <v>5</v>
      </c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</row>
    <row r="17" spans="3:18" x14ac:dyDescent="0.25">
      <c r="C17" s="5" t="s">
        <v>6</v>
      </c>
      <c r="D17" s="24">
        <f>10570151+10854000+1325900</f>
        <v>22750051</v>
      </c>
      <c r="E17" s="24">
        <f>10570151+10854000+1325900</f>
        <v>22750051</v>
      </c>
      <c r="F17" s="24">
        <v>1819923.65</v>
      </c>
      <c r="G17" s="24">
        <f>859409.67+866470.3+109025.82</f>
        <v>1834905.7900000003</v>
      </c>
      <c r="H17" s="24">
        <v>1762574.14</v>
      </c>
      <c r="I17" s="24">
        <f>849049.59+856095.62+107976.64</f>
        <v>1813121.8499999999</v>
      </c>
      <c r="J17" s="24">
        <f>835163.87+842190.36+105770.14</f>
        <v>1783124.3699999999</v>
      </c>
      <c r="K17" s="24">
        <v>1872062.99</v>
      </c>
      <c r="L17" s="24">
        <f>872482.14+879561.27+111696.49</f>
        <v>1863739.9000000001</v>
      </c>
      <c r="M17" s="24">
        <v>1851978.27</v>
      </c>
      <c r="N17" s="24">
        <v>1853808.14</v>
      </c>
      <c r="O17" s="24">
        <v>1843029.17</v>
      </c>
      <c r="P17" s="24">
        <f>868293.29+876431.54+111460.1</f>
        <v>1856184.9300000002</v>
      </c>
      <c r="Q17" s="24">
        <v>0</v>
      </c>
      <c r="R17" s="24">
        <f t="shared" ref="R17:R27" si="1">SUM(F17:Q17)</f>
        <v>20154453.199999999</v>
      </c>
    </row>
    <row r="18" spans="3:18" x14ac:dyDescent="0.25">
      <c r="C18" s="3" t="s">
        <v>7</v>
      </c>
      <c r="D18" s="25">
        <f t="shared" ref="D18:I18" si="2">D19+D20+D21+D22+D23+D24+D25+D26+D27</f>
        <v>78140849</v>
      </c>
      <c r="E18" s="25">
        <f t="shared" si="2"/>
        <v>91527179</v>
      </c>
      <c r="F18" s="25">
        <f t="shared" si="2"/>
        <v>6620670.3200000003</v>
      </c>
      <c r="G18" s="25">
        <f t="shared" si="2"/>
        <v>4391463.0600000005</v>
      </c>
      <c r="H18" s="25">
        <f t="shared" si="2"/>
        <v>8824323.0700000003</v>
      </c>
      <c r="I18" s="25">
        <f t="shared" si="2"/>
        <v>7688170.1600000001</v>
      </c>
      <c r="J18" s="25">
        <f>J19+J20+J21+J22+J23+J24+J25+J26+J27</f>
        <v>5483939.25</v>
      </c>
      <c r="K18" s="25">
        <f>K19+K20+K21+K22+K23+K24+K25+K26+K27</f>
        <v>7848671.5499999998</v>
      </c>
      <c r="L18" s="25">
        <f>L19+L20+L21+L22+L23+L24+L25+L26+L27</f>
        <v>7113597.3099999996</v>
      </c>
      <c r="M18" s="25">
        <f>M19+M20+M21+M22+M23+M24+M25+M26+M27</f>
        <v>6608735.9630000005</v>
      </c>
      <c r="N18" s="25">
        <f>N19+N20+N21+N22+N23+N24+N25+N26+N27</f>
        <v>7080793.5300000003</v>
      </c>
      <c r="O18" s="25">
        <f t="shared" ref="O18" si="3">O19+O20+O21+O22+O23+O24+O25+O26</f>
        <v>5621676</v>
      </c>
      <c r="P18" s="25">
        <f>P19+P20+P21+P22+P23+P24+P25+P26+P27</f>
        <v>8704288.3499999996</v>
      </c>
      <c r="Q18" s="25">
        <f>Q19+Q20+Q21+Q22+Q23+Q24+Q25+Q26+Q27</f>
        <v>0</v>
      </c>
      <c r="R18" s="25">
        <f t="shared" si="1"/>
        <v>75986328.562999994</v>
      </c>
    </row>
    <row r="19" spans="3:18" x14ac:dyDescent="0.25">
      <c r="C19" s="5" t="s">
        <v>8</v>
      </c>
      <c r="D19" s="24">
        <v>23080000</v>
      </c>
      <c r="E19" s="24">
        <v>24785000</v>
      </c>
      <c r="F19" s="24">
        <v>2305139.54</v>
      </c>
      <c r="G19" s="24">
        <f>435773.34+200867.09+986583.16+572753.39</f>
        <v>2195976.98</v>
      </c>
      <c r="H19" s="24">
        <f>531894.62+219894.11+999645.05+574030.01</f>
        <v>2325463.79</v>
      </c>
      <c r="I19" s="24">
        <f>484997.82+212250.14+991064.55+603000.69</f>
        <v>2291313.2000000002</v>
      </c>
      <c r="J19" s="24">
        <f>474796.68+207121.11+993058.71+598636.33</f>
        <v>2273612.83</v>
      </c>
      <c r="K19" s="24">
        <v>2295791.36</v>
      </c>
      <c r="L19" s="24">
        <f>385113.19+181759.16+994111.87+621525.71</f>
        <v>2182509.9299999997</v>
      </c>
      <c r="M19" s="24">
        <v>2344086.4900000002</v>
      </c>
      <c r="N19" s="24">
        <v>2228402.77</v>
      </c>
      <c r="O19" s="24">
        <v>1808043.44</v>
      </c>
      <c r="P19" s="24">
        <f>183550.77+215848.78+922322.18+717506.65</f>
        <v>2039228.38</v>
      </c>
      <c r="Q19" s="24">
        <v>0</v>
      </c>
      <c r="R19" s="24">
        <f t="shared" si="1"/>
        <v>24289568.709999997</v>
      </c>
    </row>
    <row r="20" spans="3:18" x14ac:dyDescent="0.25">
      <c r="C20" s="5" t="s">
        <v>9</v>
      </c>
      <c r="D20" s="24">
        <v>515000</v>
      </c>
      <c r="E20" s="24">
        <v>465000</v>
      </c>
      <c r="F20" s="24">
        <v>0</v>
      </c>
      <c r="G20" s="24">
        <v>0</v>
      </c>
      <c r="H20" s="24">
        <v>0</v>
      </c>
      <c r="I20" s="24">
        <v>0</v>
      </c>
      <c r="J20" s="24">
        <v>0</v>
      </c>
      <c r="K20" s="24">
        <v>0</v>
      </c>
      <c r="L20" s="24">
        <v>0</v>
      </c>
      <c r="M20" s="24">
        <v>0</v>
      </c>
      <c r="N20" s="24">
        <v>18585</v>
      </c>
      <c r="O20" s="24">
        <v>0</v>
      </c>
      <c r="P20" s="24">
        <v>0</v>
      </c>
      <c r="Q20" s="24">
        <v>0</v>
      </c>
      <c r="R20" s="24">
        <f t="shared" si="1"/>
        <v>18585</v>
      </c>
    </row>
    <row r="21" spans="3:18" x14ac:dyDescent="0.25">
      <c r="C21" s="5" t="s">
        <v>10</v>
      </c>
      <c r="D21" s="24">
        <v>4200000</v>
      </c>
      <c r="E21" s="24">
        <v>16610000</v>
      </c>
      <c r="F21" s="24">
        <v>2686800</v>
      </c>
      <c r="G21" s="24">
        <v>1180200</v>
      </c>
      <c r="H21" s="24">
        <v>2909800</v>
      </c>
      <c r="I21" s="24">
        <f>879200+198000</f>
        <v>1077200</v>
      </c>
      <c r="J21" s="24">
        <v>0</v>
      </c>
      <c r="K21" s="24">
        <v>0</v>
      </c>
      <c r="L21" s="24">
        <v>2028795</v>
      </c>
      <c r="M21" s="24">
        <v>0</v>
      </c>
      <c r="N21" s="24">
        <v>157200</v>
      </c>
      <c r="O21" s="24">
        <v>57600</v>
      </c>
      <c r="P21" s="24">
        <v>2311700</v>
      </c>
      <c r="Q21" s="24">
        <v>0</v>
      </c>
      <c r="R21" s="24">
        <f t="shared" si="1"/>
        <v>12409295</v>
      </c>
    </row>
    <row r="22" spans="3:18" x14ac:dyDescent="0.25">
      <c r="C22" s="5" t="s">
        <v>11</v>
      </c>
      <c r="D22" s="24">
        <v>2720000</v>
      </c>
      <c r="E22" s="24">
        <v>2850000</v>
      </c>
      <c r="F22" s="24">
        <v>0</v>
      </c>
      <c r="G22" s="24">
        <v>0</v>
      </c>
      <c r="H22" s="24">
        <v>0</v>
      </c>
      <c r="I22" s="24">
        <v>13000</v>
      </c>
      <c r="J22" s="24">
        <v>0</v>
      </c>
      <c r="K22" s="24">
        <v>0</v>
      </c>
      <c r="L22" s="24">
        <v>0</v>
      </c>
      <c r="M22" s="24">
        <v>0</v>
      </c>
      <c r="N22" s="24">
        <v>0</v>
      </c>
      <c r="O22" s="24">
        <v>0</v>
      </c>
      <c r="P22" s="24">
        <v>54000</v>
      </c>
      <c r="Q22" s="24">
        <v>0</v>
      </c>
      <c r="R22" s="24">
        <f t="shared" si="1"/>
        <v>67000</v>
      </c>
    </row>
    <row r="23" spans="3:18" x14ac:dyDescent="0.25">
      <c r="C23" s="5" t="s">
        <v>12</v>
      </c>
      <c r="D23" s="24">
        <v>22629000</v>
      </c>
      <c r="E23" s="24">
        <v>21222000</v>
      </c>
      <c r="F23" s="24">
        <v>1346926.08</v>
      </c>
      <c r="G23" s="24">
        <v>217739.5</v>
      </c>
      <c r="H23" s="24">
        <f>2205964.26+76517.1</f>
        <v>2282481.36</v>
      </c>
      <c r="I23" s="24">
        <v>1670527.88</v>
      </c>
      <c r="J23" s="24">
        <f>1320277.21+357549.12</f>
        <v>1677826.33</v>
      </c>
      <c r="K23" s="24">
        <v>2950844.98</v>
      </c>
      <c r="L23" s="24">
        <f>1320514.55+111850.43</f>
        <v>1432364.98</v>
      </c>
      <c r="M23" s="24">
        <v>2307019.81</v>
      </c>
      <c r="N23" s="24">
        <v>2634129.5499999998</v>
      </c>
      <c r="O23" s="24">
        <v>1405002.55</v>
      </c>
      <c r="P23" s="24">
        <f>1649809.97+84488</f>
        <v>1734297.97</v>
      </c>
      <c r="Q23" s="24">
        <v>0</v>
      </c>
      <c r="R23" s="24">
        <f t="shared" si="1"/>
        <v>19659160.990000002</v>
      </c>
    </row>
    <row r="24" spans="3:18" x14ac:dyDescent="0.25">
      <c r="C24" s="5" t="s">
        <v>13</v>
      </c>
      <c r="D24" s="24">
        <v>13300000</v>
      </c>
      <c r="E24" s="24">
        <v>13310830</v>
      </c>
      <c r="F24" s="24">
        <v>0</v>
      </c>
      <c r="G24" s="24">
        <v>588468.36</v>
      </c>
      <c r="H24" s="24">
        <v>978800.4</v>
      </c>
      <c r="I24" s="24">
        <f>347489.18+1056336.4</f>
        <v>1403825.5799999998</v>
      </c>
      <c r="J24" s="24">
        <f>1047626.59+289347.5</f>
        <v>1336974.0899999999</v>
      </c>
      <c r="K24" s="24">
        <v>1105871.75</v>
      </c>
      <c r="L24" s="24">
        <v>1071583.1000000001</v>
      </c>
      <c r="M24" s="24">
        <v>1523758.37</v>
      </c>
      <c r="N24" s="24">
        <v>1475442.64</v>
      </c>
      <c r="O24" s="24">
        <v>1252702.54</v>
      </c>
      <c r="P24" s="24">
        <v>1225786.6399999999</v>
      </c>
      <c r="Q24" s="24">
        <v>0</v>
      </c>
      <c r="R24" s="24">
        <f t="shared" si="1"/>
        <v>11963213.469999999</v>
      </c>
    </row>
    <row r="25" spans="3:18" ht="30" x14ac:dyDescent="0.25">
      <c r="C25" s="29" t="s">
        <v>14</v>
      </c>
      <c r="D25" s="24">
        <v>4900000</v>
      </c>
      <c r="E25" s="24">
        <v>3687500</v>
      </c>
      <c r="F25" s="24">
        <v>0</v>
      </c>
      <c r="G25" s="24">
        <f>49135.2+54566.66</f>
        <v>103701.86</v>
      </c>
      <c r="H25" s="24">
        <v>0</v>
      </c>
      <c r="I25" s="24">
        <v>308853.2</v>
      </c>
      <c r="J25" s="24">
        <v>10384</v>
      </c>
      <c r="K25" s="24">
        <v>818779.89</v>
      </c>
      <c r="L25" s="24">
        <v>57741.33</v>
      </c>
      <c r="M25" s="24">
        <v>57741.332999999999</v>
      </c>
      <c r="N25" s="24">
        <v>322297.33</v>
      </c>
      <c r="O25" s="24">
        <v>285599.33</v>
      </c>
      <c r="P25" s="24">
        <v>385270</v>
      </c>
      <c r="Q25" s="24">
        <v>0</v>
      </c>
      <c r="R25" s="24">
        <f t="shared" si="1"/>
        <v>2350368.273</v>
      </c>
    </row>
    <row r="26" spans="3:18" x14ac:dyDescent="0.25">
      <c r="C26" s="5" t="s">
        <v>15</v>
      </c>
      <c r="D26" s="24">
        <v>3896849</v>
      </c>
      <c r="E26" s="24">
        <v>4541349</v>
      </c>
      <c r="F26" s="24">
        <v>0</v>
      </c>
      <c r="G26" s="24">
        <v>26786</v>
      </c>
      <c r="H26" s="24">
        <v>66000</v>
      </c>
      <c r="I26" s="24">
        <v>708000</v>
      </c>
      <c r="J26" s="24">
        <v>4602</v>
      </c>
      <c r="K26" s="24">
        <v>321508</v>
      </c>
      <c r="L26" s="24">
        <v>8614</v>
      </c>
      <c r="M26" s="24">
        <v>125230</v>
      </c>
      <c r="N26" s="24">
        <v>30962.26</v>
      </c>
      <c r="O26" s="24">
        <v>812728.14</v>
      </c>
      <c r="P26" s="24">
        <f>116230+373290</f>
        <v>489520</v>
      </c>
      <c r="Q26" s="24">
        <v>0</v>
      </c>
      <c r="R26" s="24">
        <f t="shared" si="1"/>
        <v>2593950.4</v>
      </c>
    </row>
    <row r="27" spans="3:18" x14ac:dyDescent="0.25">
      <c r="C27" s="5" t="s">
        <v>16</v>
      </c>
      <c r="D27" s="24">
        <v>2900000</v>
      </c>
      <c r="E27" s="24">
        <v>4055500</v>
      </c>
      <c r="F27" s="24">
        <v>281804.7</v>
      </c>
      <c r="G27" s="24">
        <f>68819.96+9770.4</f>
        <v>78590.36</v>
      </c>
      <c r="H27" s="24">
        <v>261777.52</v>
      </c>
      <c r="I27" s="24">
        <f>157258.6+58191.7</f>
        <v>215450.3</v>
      </c>
      <c r="J27" s="24">
        <v>180540</v>
      </c>
      <c r="K27" s="24">
        <v>355875.57</v>
      </c>
      <c r="L27" s="24">
        <f>233694.97+98294</f>
        <v>331988.96999999997</v>
      </c>
      <c r="M27" s="24">
        <v>250899.96</v>
      </c>
      <c r="N27" s="24">
        <v>213773.98</v>
      </c>
      <c r="O27" s="24">
        <v>0</v>
      </c>
      <c r="P27" s="24">
        <v>464485.36</v>
      </c>
      <c r="Q27" s="24">
        <v>0</v>
      </c>
      <c r="R27" s="24">
        <f t="shared" si="1"/>
        <v>2635186.7199999997</v>
      </c>
    </row>
    <row r="28" spans="3:18" x14ac:dyDescent="0.25">
      <c r="C28" s="3" t="s">
        <v>17</v>
      </c>
      <c r="D28" s="25">
        <f>D29+D30+D31+D32+D33+D34+D35+D37</f>
        <v>15617678</v>
      </c>
      <c r="E28" s="25">
        <f>E29+E30+E31+E32+E33+E34+E35+E37</f>
        <v>16741348</v>
      </c>
      <c r="F28" s="25">
        <f t="shared" ref="F28:R28" si="4">F29+F30+F31+F32+F33+F34+F35+F37</f>
        <v>715604</v>
      </c>
      <c r="G28" s="25">
        <f t="shared" si="4"/>
        <v>2060669.4</v>
      </c>
      <c r="H28" s="25">
        <f t="shared" si="4"/>
        <v>195375.4</v>
      </c>
      <c r="I28" s="25">
        <f t="shared" si="4"/>
        <v>1282432.8799999999</v>
      </c>
      <c r="J28" s="25">
        <f t="shared" si="4"/>
        <v>1063414.23</v>
      </c>
      <c r="K28" s="25">
        <f t="shared" si="4"/>
        <v>2451261.69</v>
      </c>
      <c r="L28" s="25">
        <f t="shared" si="4"/>
        <v>955916.6</v>
      </c>
      <c r="M28" s="25">
        <f t="shared" si="4"/>
        <v>1020059.72</v>
      </c>
      <c r="N28" s="25">
        <f t="shared" si="4"/>
        <v>1033769.2100000001</v>
      </c>
      <c r="O28" s="25">
        <f t="shared" si="4"/>
        <v>86918</v>
      </c>
      <c r="P28" s="25">
        <f t="shared" si="4"/>
        <v>1994243.6</v>
      </c>
      <c r="Q28" s="25">
        <f t="shared" si="4"/>
        <v>0</v>
      </c>
      <c r="R28" s="25">
        <f t="shared" si="4"/>
        <v>12859664.73</v>
      </c>
    </row>
    <row r="29" spans="3:18" x14ac:dyDescent="0.25">
      <c r="C29" s="5" t="s">
        <v>18</v>
      </c>
      <c r="D29" s="24">
        <v>665000</v>
      </c>
      <c r="E29" s="24">
        <v>916300</v>
      </c>
      <c r="F29" s="24">
        <v>0</v>
      </c>
      <c r="G29" s="24">
        <f>10570+25623.2</f>
        <v>36193.199999999997</v>
      </c>
      <c r="H29" s="24">
        <v>11260</v>
      </c>
      <c r="I29" s="24">
        <v>97335.29</v>
      </c>
      <c r="J29" s="24">
        <f>8260+99125.66</f>
        <v>107385.66</v>
      </c>
      <c r="K29" s="24">
        <v>24523.599999999999</v>
      </c>
      <c r="L29" s="24">
        <f>12880+15422.6</f>
        <v>28302.6</v>
      </c>
      <c r="M29" s="24">
        <v>15889</v>
      </c>
      <c r="N29" s="24">
        <v>104911.63</v>
      </c>
      <c r="O29" s="24">
        <v>20700</v>
      </c>
      <c r="P29" s="24">
        <v>3304</v>
      </c>
      <c r="Q29" s="24">
        <v>0</v>
      </c>
      <c r="R29" s="24">
        <f t="shared" ref="R29:R36" si="5">SUM(F29:Q29)</f>
        <v>449804.98</v>
      </c>
    </row>
    <row r="30" spans="3:18" x14ac:dyDescent="0.25">
      <c r="C30" s="5" t="s">
        <v>19</v>
      </c>
      <c r="D30" s="24">
        <v>448000</v>
      </c>
      <c r="E30" s="24">
        <v>366600</v>
      </c>
      <c r="F30" s="24">
        <v>0</v>
      </c>
      <c r="G30" s="24">
        <v>0</v>
      </c>
      <c r="H30" s="24">
        <v>184115.4</v>
      </c>
      <c r="I30" s="24">
        <v>0</v>
      </c>
      <c r="J30" s="24">
        <v>0</v>
      </c>
      <c r="K30" s="24">
        <v>0</v>
      </c>
      <c r="L30" s="24">
        <v>0</v>
      </c>
      <c r="M30" s="24">
        <v>0</v>
      </c>
      <c r="N30" s="24">
        <v>0</v>
      </c>
      <c r="O30" s="24">
        <v>0</v>
      </c>
      <c r="P30" s="24">
        <v>0</v>
      </c>
      <c r="Q30" s="24">
        <v>0</v>
      </c>
      <c r="R30" s="24">
        <f t="shared" si="5"/>
        <v>184115.4</v>
      </c>
    </row>
    <row r="31" spans="3:18" x14ac:dyDescent="0.25">
      <c r="C31" s="5" t="s">
        <v>20</v>
      </c>
      <c r="D31" s="24">
        <v>675000</v>
      </c>
      <c r="E31" s="24">
        <v>540000</v>
      </c>
      <c r="F31" s="24">
        <v>0</v>
      </c>
      <c r="G31" s="24">
        <v>0</v>
      </c>
      <c r="H31" s="24">
        <v>0</v>
      </c>
      <c r="I31" s="24">
        <f>58882+159770.21</f>
        <v>218652.21</v>
      </c>
      <c r="J31" s="24">
        <v>0</v>
      </c>
      <c r="K31" s="24">
        <v>3450</v>
      </c>
      <c r="L31" s="24">
        <v>0</v>
      </c>
      <c r="M31" s="24">
        <v>0</v>
      </c>
      <c r="N31" s="24">
        <v>113006.38</v>
      </c>
      <c r="O31" s="24">
        <v>60294.28</v>
      </c>
      <c r="P31" s="24">
        <v>0</v>
      </c>
      <c r="Q31" s="24">
        <v>0</v>
      </c>
      <c r="R31" s="24">
        <f t="shared" si="5"/>
        <v>395402.87</v>
      </c>
    </row>
    <row r="32" spans="3:18" x14ac:dyDescent="0.25">
      <c r="C32" s="5" t="s">
        <v>21</v>
      </c>
      <c r="D32" s="24">
        <v>10000</v>
      </c>
      <c r="E32" s="24">
        <v>4000</v>
      </c>
      <c r="F32" s="24">
        <v>0</v>
      </c>
      <c r="G32" s="24">
        <v>0</v>
      </c>
      <c r="H32" s="24">
        <v>0</v>
      </c>
      <c r="I32" s="24">
        <v>0</v>
      </c>
      <c r="J32" s="24">
        <v>0</v>
      </c>
      <c r="K32" s="24">
        <v>0</v>
      </c>
      <c r="L32" s="24">
        <v>0</v>
      </c>
      <c r="M32" s="24">
        <v>0</v>
      </c>
      <c r="N32" s="24">
        <v>0</v>
      </c>
      <c r="O32" s="24">
        <v>0</v>
      </c>
      <c r="P32" s="24">
        <v>0</v>
      </c>
      <c r="Q32" s="24">
        <v>0</v>
      </c>
      <c r="R32" s="24">
        <f t="shared" si="5"/>
        <v>0</v>
      </c>
    </row>
    <row r="33" spans="3:18" x14ac:dyDescent="0.25">
      <c r="C33" s="5" t="s">
        <v>22</v>
      </c>
      <c r="D33" s="24">
        <v>700000</v>
      </c>
      <c r="E33" s="24">
        <v>563400</v>
      </c>
      <c r="F33" s="24">
        <v>0</v>
      </c>
      <c r="G33" s="24">
        <v>0</v>
      </c>
      <c r="H33" s="24">
        <v>0</v>
      </c>
      <c r="I33" s="24">
        <v>198633.65</v>
      </c>
      <c r="J33" s="24">
        <v>0</v>
      </c>
      <c r="K33" s="24">
        <v>0</v>
      </c>
      <c r="L33" s="24">
        <v>0</v>
      </c>
      <c r="M33" s="24">
        <v>134921.20000000001</v>
      </c>
      <c r="N33" s="24">
        <v>68149.16</v>
      </c>
      <c r="O33" s="24">
        <v>0</v>
      </c>
      <c r="P33" s="24">
        <v>0</v>
      </c>
      <c r="Q33" s="24">
        <v>0</v>
      </c>
      <c r="R33" s="24">
        <f t="shared" si="5"/>
        <v>401704.01</v>
      </c>
    </row>
    <row r="34" spans="3:18" x14ac:dyDescent="0.25">
      <c r="C34" s="5" t="s">
        <v>23</v>
      </c>
      <c r="D34" s="24">
        <v>119678</v>
      </c>
      <c r="E34" s="24">
        <v>399678</v>
      </c>
      <c r="F34" s="24">
        <v>0</v>
      </c>
      <c r="G34" s="24">
        <v>0</v>
      </c>
      <c r="H34" s="24">
        <v>0</v>
      </c>
      <c r="I34" s="24">
        <v>0</v>
      </c>
      <c r="J34" s="24">
        <v>3457.86</v>
      </c>
      <c r="K34" s="24">
        <v>908.6</v>
      </c>
      <c r="L34" s="24">
        <v>205320</v>
      </c>
      <c r="M34" s="24">
        <v>0</v>
      </c>
      <c r="N34" s="24">
        <v>0</v>
      </c>
      <c r="O34" s="24">
        <v>0</v>
      </c>
      <c r="P34" s="24">
        <v>0</v>
      </c>
      <c r="Q34" s="24">
        <v>0</v>
      </c>
      <c r="R34" s="24">
        <f t="shared" si="5"/>
        <v>209686.46</v>
      </c>
    </row>
    <row r="35" spans="3:18" x14ac:dyDescent="0.25">
      <c r="C35" s="5" t="s">
        <v>24</v>
      </c>
      <c r="D35" s="24">
        <v>11100000</v>
      </c>
      <c r="E35" s="24">
        <v>11397200</v>
      </c>
      <c r="F35" s="24">
        <v>715604</v>
      </c>
      <c r="G35" s="24">
        <v>1907604</v>
      </c>
      <c r="H35" s="24">
        <v>0</v>
      </c>
      <c r="I35" s="24">
        <v>686600</v>
      </c>
      <c r="J35" s="24">
        <v>698600</v>
      </c>
      <c r="K35" s="24">
        <v>2011533.98</v>
      </c>
      <c r="L35" s="24">
        <f>705500+16794</f>
        <v>722294</v>
      </c>
      <c r="M35" s="24">
        <v>702500</v>
      </c>
      <c r="N35" s="24">
        <v>681804</v>
      </c>
      <c r="O35" s="24">
        <v>0</v>
      </c>
      <c r="P35" s="24">
        <f>1400000+99941.6</f>
        <v>1499941.6</v>
      </c>
      <c r="Q35" s="24">
        <v>0</v>
      </c>
      <c r="R35" s="24">
        <f t="shared" si="5"/>
        <v>9626481.5800000001</v>
      </c>
    </row>
    <row r="36" spans="3:18" x14ac:dyDescent="0.25">
      <c r="C36" s="5" t="s">
        <v>25</v>
      </c>
      <c r="D36" s="24">
        <v>0</v>
      </c>
      <c r="E36" s="24">
        <v>0</v>
      </c>
      <c r="F36" s="24">
        <v>0</v>
      </c>
      <c r="G36" s="24">
        <v>0</v>
      </c>
      <c r="H36" s="24">
        <v>0</v>
      </c>
      <c r="I36" s="24">
        <v>0</v>
      </c>
      <c r="J36" s="24">
        <v>0</v>
      </c>
      <c r="K36" s="24">
        <v>0</v>
      </c>
      <c r="L36" s="24">
        <v>0</v>
      </c>
      <c r="M36" s="24">
        <v>0</v>
      </c>
      <c r="N36" s="24">
        <v>0</v>
      </c>
      <c r="O36" s="24">
        <v>0</v>
      </c>
      <c r="P36" s="24">
        <v>0</v>
      </c>
      <c r="Q36" s="24">
        <v>0</v>
      </c>
      <c r="R36" s="24">
        <f t="shared" si="5"/>
        <v>0</v>
      </c>
    </row>
    <row r="37" spans="3:18" x14ac:dyDescent="0.25">
      <c r="C37" s="5" t="s">
        <v>26</v>
      </c>
      <c r="D37" s="24">
        <v>1900000</v>
      </c>
      <c r="E37" s="24">
        <v>2554170</v>
      </c>
      <c r="F37" s="24">
        <v>0</v>
      </c>
      <c r="G37" s="24">
        <f>23610.9+93261.3</f>
        <v>116872.20000000001</v>
      </c>
      <c r="H37" s="24">
        <v>0</v>
      </c>
      <c r="I37" s="24">
        <f>61505.73+19706</f>
        <v>81211.73000000001</v>
      </c>
      <c r="J37" s="24">
        <f>65466.4+11151+13715.99+163637.32</f>
        <v>253970.71000000002</v>
      </c>
      <c r="K37" s="24">
        <v>410845.51</v>
      </c>
      <c r="L37" s="24">
        <v>0</v>
      </c>
      <c r="M37" s="24">
        <v>166749.51999999999</v>
      </c>
      <c r="N37" s="24">
        <v>65898.039999999994</v>
      </c>
      <c r="O37" s="24">
        <v>5923.72</v>
      </c>
      <c r="P37" s="24">
        <f>17700+23128+450170</f>
        <v>490998</v>
      </c>
      <c r="Q37" s="24">
        <v>0</v>
      </c>
      <c r="R37" s="24">
        <f>SUM(F37:Q37)</f>
        <v>1592469.43</v>
      </c>
    </row>
    <row r="38" spans="3:18" x14ac:dyDescent="0.25">
      <c r="C38" s="3" t="s">
        <v>27</v>
      </c>
      <c r="D38" s="25">
        <f>D39</f>
        <v>50000</v>
      </c>
      <c r="E38" s="25">
        <f>E39</f>
        <v>50000</v>
      </c>
      <c r="F38" s="25">
        <f t="shared" ref="F38:R38" si="6">F39</f>
        <v>0</v>
      </c>
      <c r="G38" s="25">
        <f t="shared" si="6"/>
        <v>0</v>
      </c>
      <c r="H38" s="25">
        <f t="shared" si="6"/>
        <v>24000</v>
      </c>
      <c r="I38" s="25">
        <f t="shared" si="6"/>
        <v>0</v>
      </c>
      <c r="J38" s="25">
        <f t="shared" si="6"/>
        <v>0</v>
      </c>
      <c r="K38" s="25">
        <f t="shared" si="6"/>
        <v>0</v>
      </c>
      <c r="L38" s="25">
        <f t="shared" si="6"/>
        <v>0</v>
      </c>
      <c r="M38" s="25">
        <f t="shared" si="6"/>
        <v>0</v>
      </c>
      <c r="N38" s="25">
        <f t="shared" si="6"/>
        <v>0</v>
      </c>
      <c r="O38" s="25">
        <f t="shared" si="6"/>
        <v>0</v>
      </c>
      <c r="P38" s="25">
        <f t="shared" si="6"/>
        <v>0</v>
      </c>
      <c r="Q38" s="25">
        <f t="shared" si="6"/>
        <v>0</v>
      </c>
      <c r="R38" s="25">
        <f t="shared" si="6"/>
        <v>24000</v>
      </c>
    </row>
    <row r="39" spans="3:18" x14ac:dyDescent="0.25">
      <c r="C39" s="5" t="s">
        <v>28</v>
      </c>
      <c r="D39" s="24">
        <v>50000</v>
      </c>
      <c r="E39" s="24">
        <v>50000</v>
      </c>
      <c r="F39" s="24">
        <v>0</v>
      </c>
      <c r="G39" s="24">
        <v>0</v>
      </c>
      <c r="H39" s="24">
        <v>24000</v>
      </c>
      <c r="I39" s="24">
        <v>0</v>
      </c>
      <c r="J39" s="24">
        <v>0</v>
      </c>
      <c r="K39" s="24">
        <v>0</v>
      </c>
      <c r="L39" s="24">
        <v>0</v>
      </c>
      <c r="M39" s="24">
        <v>0</v>
      </c>
      <c r="N39" s="24">
        <v>0</v>
      </c>
      <c r="O39" s="24">
        <v>0</v>
      </c>
      <c r="P39" s="24">
        <v>0</v>
      </c>
      <c r="Q39" s="24">
        <v>0</v>
      </c>
      <c r="R39" s="24">
        <f>SUM(F39:Q39)</f>
        <v>24000</v>
      </c>
    </row>
    <row r="40" spans="3:18" x14ac:dyDescent="0.25">
      <c r="C40" s="5" t="s">
        <v>29</v>
      </c>
      <c r="D40" s="24">
        <v>0</v>
      </c>
      <c r="E40" s="24">
        <v>0</v>
      </c>
      <c r="F40" s="24">
        <v>0</v>
      </c>
      <c r="G40" s="24">
        <v>0</v>
      </c>
      <c r="H40" s="24">
        <v>0</v>
      </c>
      <c r="I40" s="24">
        <v>0</v>
      </c>
      <c r="J40" s="24">
        <v>0</v>
      </c>
      <c r="K40" s="24">
        <v>0</v>
      </c>
      <c r="L40" s="24">
        <v>0</v>
      </c>
      <c r="M40" s="24">
        <v>0</v>
      </c>
      <c r="N40" s="24">
        <v>0</v>
      </c>
      <c r="O40" s="24">
        <v>0</v>
      </c>
      <c r="P40" s="24">
        <v>0</v>
      </c>
      <c r="Q40" s="24">
        <v>0</v>
      </c>
      <c r="R40" s="24">
        <v>0</v>
      </c>
    </row>
    <row r="41" spans="3:18" x14ac:dyDescent="0.25">
      <c r="C41" s="5" t="s">
        <v>30</v>
      </c>
      <c r="D41" s="24">
        <v>0</v>
      </c>
      <c r="E41" s="24">
        <v>0</v>
      </c>
      <c r="F41" s="24">
        <v>0</v>
      </c>
      <c r="G41" s="24">
        <v>0</v>
      </c>
      <c r="H41" s="24">
        <v>0</v>
      </c>
      <c r="I41" s="24">
        <v>0</v>
      </c>
      <c r="J41" s="24">
        <v>0</v>
      </c>
      <c r="K41" s="24">
        <v>0</v>
      </c>
      <c r="L41" s="24">
        <v>0</v>
      </c>
      <c r="M41" s="24">
        <v>0</v>
      </c>
      <c r="N41" s="24">
        <v>0</v>
      </c>
      <c r="O41" s="24">
        <v>0</v>
      </c>
      <c r="P41" s="24">
        <v>0</v>
      </c>
      <c r="Q41" s="24">
        <v>0</v>
      </c>
      <c r="R41" s="24">
        <v>0</v>
      </c>
    </row>
    <row r="42" spans="3:18" x14ac:dyDescent="0.25">
      <c r="C42" s="5" t="s">
        <v>31</v>
      </c>
      <c r="D42" s="24">
        <v>0</v>
      </c>
      <c r="E42" s="24">
        <v>0</v>
      </c>
      <c r="F42" s="24">
        <v>0</v>
      </c>
      <c r="G42" s="24">
        <v>0</v>
      </c>
      <c r="H42" s="24">
        <v>0</v>
      </c>
      <c r="I42" s="24">
        <v>0</v>
      </c>
      <c r="J42" s="24">
        <v>0</v>
      </c>
      <c r="K42" s="24">
        <v>0</v>
      </c>
      <c r="L42" s="24">
        <v>0</v>
      </c>
      <c r="M42" s="24">
        <v>0</v>
      </c>
      <c r="N42" s="24">
        <v>0</v>
      </c>
      <c r="O42" s="24">
        <v>0</v>
      </c>
      <c r="P42" s="24">
        <v>0</v>
      </c>
      <c r="Q42" s="24">
        <v>0</v>
      </c>
      <c r="R42" s="24">
        <v>0</v>
      </c>
    </row>
    <row r="43" spans="3:18" x14ac:dyDescent="0.25">
      <c r="C43" s="5" t="s">
        <v>32</v>
      </c>
      <c r="D43" s="24">
        <v>0</v>
      </c>
      <c r="E43" s="24">
        <v>0</v>
      </c>
      <c r="F43" s="24">
        <v>0</v>
      </c>
      <c r="G43" s="24">
        <v>0</v>
      </c>
      <c r="H43" s="24">
        <v>0</v>
      </c>
      <c r="I43" s="24">
        <v>0</v>
      </c>
      <c r="J43" s="24">
        <v>0</v>
      </c>
      <c r="K43" s="24">
        <v>0</v>
      </c>
      <c r="L43" s="24">
        <v>0</v>
      </c>
      <c r="M43" s="24">
        <v>0</v>
      </c>
      <c r="N43" s="24">
        <v>0</v>
      </c>
      <c r="O43" s="24">
        <v>0</v>
      </c>
      <c r="P43" s="24">
        <v>0</v>
      </c>
      <c r="Q43" s="24">
        <v>0</v>
      </c>
      <c r="R43" s="24">
        <v>0</v>
      </c>
    </row>
    <row r="44" spans="3:18" x14ac:dyDescent="0.25">
      <c r="C44" s="5" t="s">
        <v>33</v>
      </c>
      <c r="D44" s="24">
        <v>0</v>
      </c>
      <c r="E44" s="24">
        <v>0</v>
      </c>
      <c r="F44" s="24">
        <v>0</v>
      </c>
      <c r="G44" s="24">
        <v>0</v>
      </c>
      <c r="H44" s="24">
        <v>0</v>
      </c>
      <c r="I44" s="24">
        <v>0</v>
      </c>
      <c r="J44" s="24">
        <v>0</v>
      </c>
      <c r="K44" s="24">
        <v>0</v>
      </c>
      <c r="L44" s="24">
        <v>0</v>
      </c>
      <c r="M44" s="24">
        <v>0</v>
      </c>
      <c r="N44" s="24">
        <v>0</v>
      </c>
      <c r="O44" s="24">
        <v>0</v>
      </c>
      <c r="P44" s="24">
        <v>0</v>
      </c>
      <c r="Q44" s="24">
        <v>0</v>
      </c>
      <c r="R44" s="24">
        <v>0</v>
      </c>
    </row>
    <row r="45" spans="3:18" x14ac:dyDescent="0.25">
      <c r="C45" s="5" t="s">
        <v>34</v>
      </c>
      <c r="D45" s="24">
        <v>0</v>
      </c>
      <c r="E45" s="24">
        <v>0</v>
      </c>
      <c r="F45" s="24">
        <v>0</v>
      </c>
      <c r="G45" s="24">
        <v>0</v>
      </c>
      <c r="H45" s="24">
        <v>0</v>
      </c>
      <c r="I45" s="24">
        <v>0</v>
      </c>
      <c r="J45" s="24">
        <v>0</v>
      </c>
      <c r="K45" s="24">
        <v>0</v>
      </c>
      <c r="L45" s="24">
        <v>0</v>
      </c>
      <c r="M45" s="24">
        <v>0</v>
      </c>
      <c r="N45" s="24">
        <v>0</v>
      </c>
      <c r="O45" s="24">
        <v>0</v>
      </c>
      <c r="P45" s="24">
        <v>0</v>
      </c>
      <c r="Q45" s="24">
        <v>0</v>
      </c>
      <c r="R45" s="24">
        <v>0</v>
      </c>
    </row>
    <row r="46" spans="3:18" x14ac:dyDescent="0.25">
      <c r="C46" s="5" t="s">
        <v>35</v>
      </c>
      <c r="D46" s="24">
        <v>0</v>
      </c>
      <c r="E46" s="24">
        <v>0</v>
      </c>
      <c r="F46" s="24">
        <v>0</v>
      </c>
      <c r="G46" s="24">
        <v>0</v>
      </c>
      <c r="H46" s="24">
        <v>0</v>
      </c>
      <c r="I46" s="24">
        <v>0</v>
      </c>
      <c r="J46" s="24">
        <v>0</v>
      </c>
      <c r="K46" s="24">
        <v>0</v>
      </c>
      <c r="L46" s="24">
        <v>0</v>
      </c>
      <c r="M46" s="24">
        <v>0</v>
      </c>
      <c r="N46" s="24">
        <v>0</v>
      </c>
      <c r="O46" s="24">
        <v>0</v>
      </c>
      <c r="P46" s="24">
        <v>0</v>
      </c>
      <c r="Q46" s="24">
        <v>0</v>
      </c>
      <c r="R46" s="24">
        <v>0</v>
      </c>
    </row>
    <row r="47" spans="3:18" x14ac:dyDescent="0.25">
      <c r="C47" s="3" t="s">
        <v>36</v>
      </c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</row>
    <row r="48" spans="3:18" x14ac:dyDescent="0.25">
      <c r="C48" s="5" t="s">
        <v>37</v>
      </c>
      <c r="D48" s="24">
        <v>0</v>
      </c>
      <c r="E48" s="24">
        <v>0</v>
      </c>
      <c r="F48" s="24">
        <v>0</v>
      </c>
      <c r="G48" s="24">
        <v>0</v>
      </c>
      <c r="H48" s="24">
        <v>0</v>
      </c>
      <c r="I48" s="24">
        <v>0</v>
      </c>
      <c r="J48" s="24">
        <v>0</v>
      </c>
      <c r="K48" s="24">
        <v>0</v>
      </c>
      <c r="L48" s="24">
        <v>0</v>
      </c>
      <c r="M48" s="24">
        <v>0</v>
      </c>
      <c r="N48" s="24">
        <v>0</v>
      </c>
      <c r="O48" s="24">
        <v>0</v>
      </c>
      <c r="P48" s="24">
        <v>0</v>
      </c>
      <c r="Q48" s="24">
        <v>0</v>
      </c>
      <c r="R48" s="24">
        <v>0</v>
      </c>
    </row>
    <row r="49" spans="3:18" x14ac:dyDescent="0.25">
      <c r="C49" s="5" t="s">
        <v>38</v>
      </c>
      <c r="D49" s="24">
        <v>0</v>
      </c>
      <c r="E49" s="24">
        <v>0</v>
      </c>
      <c r="F49" s="24">
        <v>0</v>
      </c>
      <c r="G49" s="24">
        <v>0</v>
      </c>
      <c r="H49" s="24">
        <v>0</v>
      </c>
      <c r="I49" s="24">
        <v>0</v>
      </c>
      <c r="J49" s="24">
        <v>0</v>
      </c>
      <c r="K49" s="24">
        <v>0</v>
      </c>
      <c r="L49" s="24">
        <v>0</v>
      </c>
      <c r="M49" s="24">
        <v>0</v>
      </c>
      <c r="N49" s="24">
        <v>0</v>
      </c>
      <c r="O49" s="24">
        <v>0</v>
      </c>
      <c r="P49" s="24">
        <v>0</v>
      </c>
      <c r="Q49" s="24">
        <v>0</v>
      </c>
      <c r="R49" s="24">
        <v>0</v>
      </c>
    </row>
    <row r="50" spans="3:18" x14ac:dyDescent="0.25">
      <c r="C50" s="5" t="s">
        <v>39</v>
      </c>
      <c r="D50" s="24">
        <v>0</v>
      </c>
      <c r="E50" s="24">
        <v>0</v>
      </c>
      <c r="F50" s="24">
        <v>0</v>
      </c>
      <c r="G50" s="24">
        <v>0</v>
      </c>
      <c r="H50" s="24">
        <v>0</v>
      </c>
      <c r="I50" s="24">
        <v>0</v>
      </c>
      <c r="J50" s="24">
        <v>0</v>
      </c>
      <c r="K50" s="24">
        <v>0</v>
      </c>
      <c r="L50" s="24">
        <v>0</v>
      </c>
      <c r="M50" s="24">
        <v>0</v>
      </c>
      <c r="N50" s="24">
        <v>0</v>
      </c>
      <c r="O50" s="24">
        <v>0</v>
      </c>
      <c r="P50" s="24">
        <v>0</v>
      </c>
      <c r="Q50" s="24">
        <v>0</v>
      </c>
      <c r="R50" s="24">
        <v>0</v>
      </c>
    </row>
    <row r="51" spans="3:18" x14ac:dyDescent="0.25">
      <c r="C51" s="5" t="s">
        <v>40</v>
      </c>
      <c r="D51" s="24">
        <v>0</v>
      </c>
      <c r="E51" s="24">
        <v>0</v>
      </c>
      <c r="F51" s="24">
        <v>0</v>
      </c>
      <c r="G51" s="24">
        <v>0</v>
      </c>
      <c r="H51" s="24">
        <v>0</v>
      </c>
      <c r="I51" s="24">
        <v>0</v>
      </c>
      <c r="J51" s="24">
        <v>0</v>
      </c>
      <c r="K51" s="24">
        <v>0</v>
      </c>
      <c r="L51" s="24">
        <v>0</v>
      </c>
      <c r="M51" s="24">
        <v>0</v>
      </c>
      <c r="N51" s="24">
        <v>0</v>
      </c>
      <c r="O51" s="24">
        <v>0</v>
      </c>
      <c r="P51" s="24">
        <v>0</v>
      </c>
      <c r="Q51" s="24">
        <v>0</v>
      </c>
      <c r="R51" s="24">
        <v>0</v>
      </c>
    </row>
    <row r="52" spans="3:18" x14ac:dyDescent="0.25">
      <c r="C52" s="5" t="s">
        <v>41</v>
      </c>
      <c r="D52" s="24">
        <v>0</v>
      </c>
      <c r="E52" s="24">
        <v>0</v>
      </c>
      <c r="F52" s="24">
        <v>0</v>
      </c>
      <c r="G52" s="24">
        <v>0</v>
      </c>
      <c r="H52" s="24">
        <v>0</v>
      </c>
      <c r="I52" s="24">
        <v>0</v>
      </c>
      <c r="J52" s="24">
        <v>0</v>
      </c>
      <c r="K52" s="24">
        <v>0</v>
      </c>
      <c r="L52" s="24">
        <v>0</v>
      </c>
      <c r="M52" s="24">
        <v>0</v>
      </c>
      <c r="N52" s="24">
        <v>0</v>
      </c>
      <c r="O52" s="24">
        <v>0</v>
      </c>
      <c r="P52" s="24">
        <v>0</v>
      </c>
      <c r="Q52" s="24">
        <v>0</v>
      </c>
      <c r="R52" s="24">
        <v>0</v>
      </c>
    </row>
    <row r="53" spans="3:18" x14ac:dyDescent="0.25">
      <c r="C53" s="5" t="s">
        <v>42</v>
      </c>
      <c r="D53" s="24">
        <v>0</v>
      </c>
      <c r="E53" s="24">
        <v>0</v>
      </c>
      <c r="F53" s="24">
        <v>0</v>
      </c>
      <c r="G53" s="24">
        <v>0</v>
      </c>
      <c r="H53" s="24">
        <v>0</v>
      </c>
      <c r="I53" s="24">
        <v>0</v>
      </c>
      <c r="J53" s="24">
        <v>0</v>
      </c>
      <c r="K53" s="24">
        <v>0</v>
      </c>
      <c r="L53" s="24">
        <v>0</v>
      </c>
      <c r="M53" s="24">
        <v>0</v>
      </c>
      <c r="N53" s="24">
        <v>0</v>
      </c>
      <c r="O53" s="24">
        <v>0</v>
      </c>
      <c r="P53" s="24">
        <v>0</v>
      </c>
      <c r="Q53" s="24">
        <v>0</v>
      </c>
      <c r="R53" s="24">
        <v>0</v>
      </c>
    </row>
    <row r="54" spans="3:18" x14ac:dyDescent="0.25">
      <c r="C54" s="3" t="s">
        <v>43</v>
      </c>
      <c r="D54" s="25">
        <f>D55+D58+D59</f>
        <v>3000000</v>
      </c>
      <c r="E54" s="25">
        <f>E55+E58+E59+E56+E62</f>
        <v>3000000</v>
      </c>
      <c r="F54" s="25">
        <f>F55+F58+F59</f>
        <v>0</v>
      </c>
      <c r="G54" s="25">
        <f>G55+G58+G59</f>
        <v>0</v>
      </c>
      <c r="H54" s="25">
        <f>H55+H58+H59</f>
        <v>0</v>
      </c>
      <c r="I54" s="25">
        <f>I55+I58+I59</f>
        <v>0</v>
      </c>
      <c r="J54" s="25">
        <f>J56+J55</f>
        <v>94532.61</v>
      </c>
      <c r="K54" s="25">
        <f t="shared" ref="K54:O54" si="7">K55+K58+K59</f>
        <v>40374.540000000008</v>
      </c>
      <c r="L54" s="25">
        <f t="shared" si="7"/>
        <v>0</v>
      </c>
      <c r="M54" s="25">
        <f t="shared" si="7"/>
        <v>125731.61</v>
      </c>
      <c r="N54" s="25">
        <f>N55+N58+N59+N56</f>
        <v>110936.52</v>
      </c>
      <c r="O54" s="25">
        <f t="shared" si="7"/>
        <v>95748.01</v>
      </c>
      <c r="P54" s="25">
        <f>P55+P58+P59+P56+P62</f>
        <v>66884</v>
      </c>
      <c r="Q54" s="25">
        <f>Q55+Q58+Q59+Q56</f>
        <v>0</v>
      </c>
      <c r="R54" s="25">
        <f>SUM(F54:Q54)</f>
        <v>534207.29</v>
      </c>
    </row>
    <row r="55" spans="3:18" x14ac:dyDescent="0.25">
      <c r="C55" s="5" t="s">
        <v>44</v>
      </c>
      <c r="D55" s="24">
        <v>1900000</v>
      </c>
      <c r="E55" s="24">
        <v>2335000</v>
      </c>
      <c r="F55" s="24">
        <v>0</v>
      </c>
      <c r="G55" s="24">
        <v>0</v>
      </c>
      <c r="H55" s="24">
        <v>0</v>
      </c>
      <c r="I55" s="24">
        <v>0</v>
      </c>
      <c r="J55" s="24">
        <f>52906+32726.61</f>
        <v>85632.61</v>
      </c>
      <c r="K55" s="24">
        <v>8685</v>
      </c>
      <c r="L55" s="24">
        <v>0</v>
      </c>
      <c r="M55" s="24">
        <v>125731.61</v>
      </c>
      <c r="N55" s="24">
        <v>0</v>
      </c>
      <c r="O55" s="24">
        <v>95748.01</v>
      </c>
      <c r="P55" s="24">
        <v>0</v>
      </c>
      <c r="Q55" s="24">
        <v>0</v>
      </c>
      <c r="R55" s="24">
        <f>SUM(F55:Q55)</f>
        <v>315797.23</v>
      </c>
    </row>
    <row r="56" spans="3:18" x14ac:dyDescent="0.25">
      <c r="C56" s="5" t="s">
        <v>45</v>
      </c>
      <c r="D56" s="24">
        <v>0</v>
      </c>
      <c r="E56" s="24">
        <v>168000</v>
      </c>
      <c r="F56" s="24">
        <v>0</v>
      </c>
      <c r="G56" s="24">
        <v>0</v>
      </c>
      <c r="H56" s="24">
        <v>0</v>
      </c>
      <c r="I56" s="24">
        <v>0</v>
      </c>
      <c r="J56" s="24">
        <v>8900</v>
      </c>
      <c r="K56" s="24">
        <v>0</v>
      </c>
      <c r="L56" s="24">
        <v>0</v>
      </c>
      <c r="M56" s="24">
        <v>0</v>
      </c>
      <c r="N56" s="24">
        <v>110936.52</v>
      </c>
      <c r="O56" s="24">
        <v>0</v>
      </c>
      <c r="P56" s="24">
        <v>32900</v>
      </c>
      <c r="Q56" s="24">
        <v>0</v>
      </c>
      <c r="R56" s="24">
        <f>SUM(F56:Q56)</f>
        <v>152736.52000000002</v>
      </c>
    </row>
    <row r="57" spans="3:18" x14ac:dyDescent="0.25">
      <c r="C57" s="5" t="s">
        <v>46</v>
      </c>
      <c r="D57" s="24">
        <v>0</v>
      </c>
      <c r="E57" s="24">
        <v>0</v>
      </c>
      <c r="F57" s="24">
        <v>0</v>
      </c>
      <c r="G57" s="24">
        <v>0</v>
      </c>
      <c r="H57" s="24">
        <v>0</v>
      </c>
      <c r="I57" s="24">
        <v>0</v>
      </c>
      <c r="J57" s="24">
        <v>0</v>
      </c>
      <c r="K57" s="24">
        <v>0</v>
      </c>
      <c r="L57" s="24">
        <v>0</v>
      </c>
      <c r="M57" s="24">
        <v>0</v>
      </c>
      <c r="N57" s="24">
        <v>0</v>
      </c>
      <c r="O57" s="24">
        <v>0</v>
      </c>
      <c r="P57" s="24">
        <v>0</v>
      </c>
      <c r="Q57" s="24">
        <v>0</v>
      </c>
      <c r="R57" s="24">
        <f t="shared" ref="R57:R59" si="8">SUM(F57:Q57)</f>
        <v>0</v>
      </c>
    </row>
    <row r="58" spans="3:18" x14ac:dyDescent="0.25">
      <c r="C58" s="5" t="s">
        <v>47</v>
      </c>
      <c r="D58" s="24">
        <v>0</v>
      </c>
      <c r="E58" s="24">
        <v>27000</v>
      </c>
      <c r="F58" s="24">
        <v>0</v>
      </c>
      <c r="G58" s="24">
        <v>0</v>
      </c>
      <c r="H58" s="24">
        <v>0</v>
      </c>
      <c r="I58" s="24">
        <v>0</v>
      </c>
      <c r="J58" s="24">
        <v>0</v>
      </c>
      <c r="K58" s="24">
        <v>26397.24</v>
      </c>
      <c r="L58" s="24">
        <v>0</v>
      </c>
      <c r="M58" s="24">
        <v>0</v>
      </c>
      <c r="N58" s="24">
        <v>0</v>
      </c>
      <c r="O58" s="24">
        <v>0</v>
      </c>
      <c r="P58" s="24">
        <v>0</v>
      </c>
      <c r="Q58" s="24">
        <v>0</v>
      </c>
      <c r="R58" s="24">
        <f t="shared" si="8"/>
        <v>26397.24</v>
      </c>
    </row>
    <row r="59" spans="3:18" x14ac:dyDescent="0.25">
      <c r="C59" s="5" t="s">
        <v>48</v>
      </c>
      <c r="D59" s="24">
        <v>1100000</v>
      </c>
      <c r="E59" s="24">
        <v>420000</v>
      </c>
      <c r="F59" s="24">
        <v>0</v>
      </c>
      <c r="G59" s="24">
        <v>0</v>
      </c>
      <c r="H59" s="24">
        <v>0</v>
      </c>
      <c r="I59" s="24">
        <v>0</v>
      </c>
      <c r="J59" s="24">
        <v>0</v>
      </c>
      <c r="K59" s="24">
        <v>5292.3</v>
      </c>
      <c r="L59" s="24">
        <v>0</v>
      </c>
      <c r="M59" s="24">
        <v>0</v>
      </c>
      <c r="N59" s="24">
        <v>0</v>
      </c>
      <c r="O59" s="24">
        <v>0</v>
      </c>
      <c r="P59" s="24">
        <v>0</v>
      </c>
      <c r="Q59" s="24"/>
      <c r="R59" s="24">
        <f t="shared" si="8"/>
        <v>5292.3</v>
      </c>
    </row>
    <row r="60" spans="3:18" x14ac:dyDescent="0.25">
      <c r="C60" s="5" t="s">
        <v>49</v>
      </c>
      <c r="D60" s="24">
        <v>0</v>
      </c>
      <c r="E60" s="24">
        <v>0</v>
      </c>
      <c r="F60" s="24">
        <v>0</v>
      </c>
      <c r="G60" s="24">
        <v>0</v>
      </c>
      <c r="H60" s="24">
        <v>0</v>
      </c>
      <c r="I60" s="24">
        <v>0</v>
      </c>
      <c r="J60" s="24">
        <v>0</v>
      </c>
      <c r="K60" s="24">
        <v>0</v>
      </c>
      <c r="L60" s="24">
        <v>0</v>
      </c>
      <c r="M60" s="24">
        <v>0</v>
      </c>
      <c r="N60" s="24">
        <v>0</v>
      </c>
      <c r="O60" s="24">
        <v>0</v>
      </c>
      <c r="P60" s="24">
        <v>0</v>
      </c>
      <c r="Q60" s="24">
        <v>0</v>
      </c>
      <c r="R60" s="24">
        <v>0</v>
      </c>
    </row>
    <row r="61" spans="3:18" x14ac:dyDescent="0.25">
      <c r="C61" s="5" t="s">
        <v>50</v>
      </c>
      <c r="D61" s="24">
        <v>0</v>
      </c>
      <c r="E61" s="24">
        <v>0</v>
      </c>
      <c r="F61" s="24">
        <v>0</v>
      </c>
      <c r="G61" s="24">
        <v>0</v>
      </c>
      <c r="H61" s="24">
        <v>0</v>
      </c>
      <c r="I61" s="24">
        <v>0</v>
      </c>
      <c r="J61" s="24">
        <v>0</v>
      </c>
      <c r="K61" s="24">
        <v>0</v>
      </c>
      <c r="L61" s="24">
        <v>0</v>
      </c>
      <c r="M61" s="24">
        <v>0</v>
      </c>
      <c r="N61" s="24">
        <v>0</v>
      </c>
      <c r="O61" s="24">
        <v>0</v>
      </c>
      <c r="P61" s="24">
        <v>0</v>
      </c>
      <c r="Q61" s="24">
        <v>0</v>
      </c>
      <c r="R61" s="24">
        <v>0</v>
      </c>
    </row>
    <row r="62" spans="3:18" x14ac:dyDescent="0.25">
      <c r="C62" s="5" t="s">
        <v>51</v>
      </c>
      <c r="D62" s="24">
        <v>0</v>
      </c>
      <c r="E62" s="24">
        <v>50000</v>
      </c>
      <c r="F62" s="24">
        <v>0</v>
      </c>
      <c r="G62" s="24">
        <v>0</v>
      </c>
      <c r="H62" s="24">
        <v>0</v>
      </c>
      <c r="I62" s="24">
        <v>0</v>
      </c>
      <c r="J62" s="24">
        <v>0</v>
      </c>
      <c r="K62" s="24">
        <v>0</v>
      </c>
      <c r="L62" s="24">
        <v>0</v>
      </c>
      <c r="M62" s="24">
        <v>0</v>
      </c>
      <c r="N62" s="24">
        <v>0</v>
      </c>
      <c r="O62" s="24">
        <v>0</v>
      </c>
      <c r="P62" s="24">
        <v>33984</v>
      </c>
      <c r="Q62" s="24">
        <v>0</v>
      </c>
      <c r="R62" s="24">
        <v>0</v>
      </c>
    </row>
    <row r="63" spans="3:18" x14ac:dyDescent="0.25">
      <c r="C63" s="5" t="s">
        <v>52</v>
      </c>
      <c r="D63" s="24">
        <v>0</v>
      </c>
      <c r="E63" s="24">
        <v>0</v>
      </c>
      <c r="F63" s="24">
        <v>0</v>
      </c>
      <c r="G63" s="24">
        <v>0</v>
      </c>
      <c r="H63" s="24">
        <v>0</v>
      </c>
      <c r="I63" s="24">
        <v>0</v>
      </c>
      <c r="J63" s="24">
        <v>0</v>
      </c>
      <c r="K63" s="24">
        <v>0</v>
      </c>
      <c r="L63" s="24">
        <v>0</v>
      </c>
      <c r="M63" s="24">
        <v>0</v>
      </c>
      <c r="N63" s="24">
        <v>0</v>
      </c>
      <c r="O63" s="24">
        <v>0</v>
      </c>
      <c r="P63" s="24">
        <v>0</v>
      </c>
      <c r="Q63" s="24">
        <v>0</v>
      </c>
      <c r="R63" s="24">
        <v>0</v>
      </c>
    </row>
    <row r="64" spans="3:18" x14ac:dyDescent="0.25">
      <c r="C64" s="3" t="s">
        <v>53</v>
      </c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</row>
    <row r="65" spans="3:18" x14ac:dyDescent="0.25">
      <c r="C65" s="5" t="s">
        <v>54</v>
      </c>
      <c r="D65" s="24">
        <v>0</v>
      </c>
      <c r="E65" s="24">
        <v>0</v>
      </c>
      <c r="F65" s="24">
        <v>0</v>
      </c>
      <c r="G65" s="24">
        <v>0</v>
      </c>
      <c r="H65" s="24">
        <v>0</v>
      </c>
      <c r="I65" s="24">
        <v>0</v>
      </c>
      <c r="J65" s="24">
        <v>0</v>
      </c>
      <c r="K65" s="24">
        <v>0</v>
      </c>
      <c r="L65" s="24">
        <v>0</v>
      </c>
      <c r="M65" s="24">
        <v>0</v>
      </c>
      <c r="N65" s="24">
        <v>0</v>
      </c>
      <c r="O65" s="24">
        <v>0</v>
      </c>
      <c r="P65" s="24">
        <v>0</v>
      </c>
      <c r="Q65" s="24">
        <v>0</v>
      </c>
      <c r="R65" s="24">
        <v>0</v>
      </c>
    </row>
    <row r="66" spans="3:18" x14ac:dyDescent="0.25">
      <c r="C66" s="5" t="s">
        <v>55</v>
      </c>
      <c r="D66" s="24">
        <v>0</v>
      </c>
      <c r="E66" s="24">
        <v>0</v>
      </c>
      <c r="F66" s="24">
        <v>0</v>
      </c>
      <c r="G66" s="24">
        <v>0</v>
      </c>
      <c r="H66" s="24">
        <v>0</v>
      </c>
      <c r="I66" s="24">
        <v>0</v>
      </c>
      <c r="J66" s="24">
        <v>0</v>
      </c>
      <c r="K66" s="24">
        <v>0</v>
      </c>
      <c r="L66" s="24">
        <v>0</v>
      </c>
      <c r="M66" s="24">
        <v>0</v>
      </c>
      <c r="N66" s="24">
        <v>0</v>
      </c>
      <c r="O66" s="24">
        <v>0</v>
      </c>
      <c r="P66" s="24">
        <v>0</v>
      </c>
      <c r="Q66" s="24">
        <v>0</v>
      </c>
      <c r="R66" s="24">
        <v>0</v>
      </c>
    </row>
    <row r="67" spans="3:18" x14ac:dyDescent="0.25">
      <c r="C67" s="5" t="s">
        <v>56</v>
      </c>
      <c r="D67" s="24">
        <v>0</v>
      </c>
      <c r="E67" s="24">
        <v>0</v>
      </c>
      <c r="F67" s="24">
        <v>0</v>
      </c>
      <c r="G67" s="24">
        <v>0</v>
      </c>
      <c r="H67" s="24">
        <v>0</v>
      </c>
      <c r="I67" s="24">
        <v>0</v>
      </c>
      <c r="J67" s="24">
        <v>0</v>
      </c>
      <c r="K67" s="24">
        <v>0</v>
      </c>
      <c r="L67" s="24">
        <v>0</v>
      </c>
      <c r="M67" s="24">
        <v>0</v>
      </c>
      <c r="N67" s="24">
        <v>0</v>
      </c>
      <c r="O67" s="24">
        <v>0</v>
      </c>
      <c r="P67" s="24">
        <v>0</v>
      </c>
      <c r="Q67" s="24">
        <v>0</v>
      </c>
      <c r="R67" s="24">
        <v>0</v>
      </c>
    </row>
    <row r="68" spans="3:18" x14ac:dyDescent="0.25">
      <c r="C68" s="5" t="s">
        <v>57</v>
      </c>
      <c r="D68" s="24">
        <v>0</v>
      </c>
      <c r="E68" s="24">
        <v>0</v>
      </c>
      <c r="F68" s="24">
        <v>0</v>
      </c>
      <c r="G68" s="24">
        <v>0</v>
      </c>
      <c r="H68" s="24">
        <v>0</v>
      </c>
      <c r="I68" s="24">
        <v>0</v>
      </c>
      <c r="J68" s="24">
        <v>0</v>
      </c>
      <c r="K68" s="24">
        <v>0</v>
      </c>
      <c r="L68" s="24">
        <v>0</v>
      </c>
      <c r="M68" s="24">
        <v>0</v>
      </c>
      <c r="N68" s="24">
        <v>0</v>
      </c>
      <c r="O68" s="24">
        <v>0</v>
      </c>
      <c r="P68" s="24">
        <v>0</v>
      </c>
      <c r="Q68" s="24">
        <v>0</v>
      </c>
      <c r="R68" s="24">
        <v>0</v>
      </c>
    </row>
    <row r="69" spans="3:18" x14ac:dyDescent="0.25">
      <c r="C69" s="3" t="s">
        <v>58</v>
      </c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</row>
    <row r="70" spans="3:18" x14ac:dyDescent="0.25">
      <c r="C70" s="5" t="s">
        <v>59</v>
      </c>
      <c r="D70" s="24">
        <v>0</v>
      </c>
      <c r="E70" s="24">
        <v>0</v>
      </c>
      <c r="F70" s="24">
        <v>0</v>
      </c>
      <c r="G70" s="24">
        <v>0</v>
      </c>
      <c r="H70" s="24">
        <v>0</v>
      </c>
      <c r="I70" s="24">
        <v>0</v>
      </c>
      <c r="J70" s="24">
        <v>0</v>
      </c>
      <c r="K70" s="24">
        <v>0</v>
      </c>
      <c r="L70" s="24">
        <v>0</v>
      </c>
      <c r="M70" s="24">
        <v>0</v>
      </c>
      <c r="N70" s="24">
        <v>0</v>
      </c>
      <c r="O70" s="24">
        <v>0</v>
      </c>
      <c r="P70" s="24">
        <v>0</v>
      </c>
      <c r="Q70" s="24">
        <v>0</v>
      </c>
      <c r="R70" s="24">
        <v>0</v>
      </c>
    </row>
    <row r="71" spans="3:18" x14ac:dyDescent="0.25">
      <c r="C71" s="5" t="s">
        <v>60</v>
      </c>
      <c r="D71" s="24">
        <v>0</v>
      </c>
      <c r="E71" s="24">
        <v>0</v>
      </c>
      <c r="F71" s="24">
        <v>0</v>
      </c>
      <c r="G71" s="24">
        <v>0</v>
      </c>
      <c r="H71" s="24">
        <v>0</v>
      </c>
      <c r="I71" s="24">
        <v>0</v>
      </c>
      <c r="J71" s="24">
        <v>0</v>
      </c>
      <c r="K71" s="24">
        <v>0</v>
      </c>
      <c r="L71" s="24">
        <v>0</v>
      </c>
      <c r="M71" s="24">
        <v>0</v>
      </c>
      <c r="N71" s="24">
        <v>0</v>
      </c>
      <c r="O71" s="24">
        <v>0</v>
      </c>
      <c r="P71" s="24">
        <v>0</v>
      </c>
      <c r="Q71" s="24">
        <v>0</v>
      </c>
      <c r="R71" s="24">
        <v>0</v>
      </c>
    </row>
    <row r="72" spans="3:18" x14ac:dyDescent="0.25">
      <c r="C72" s="3" t="s">
        <v>61</v>
      </c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</row>
    <row r="73" spans="3:18" x14ac:dyDescent="0.25">
      <c r="C73" s="5" t="s">
        <v>62</v>
      </c>
      <c r="D73" s="24">
        <v>0</v>
      </c>
      <c r="E73" s="24">
        <v>0</v>
      </c>
      <c r="F73" s="24">
        <v>0</v>
      </c>
      <c r="G73" s="24">
        <v>0</v>
      </c>
      <c r="H73" s="24">
        <v>0</v>
      </c>
      <c r="I73" s="24">
        <v>0</v>
      </c>
      <c r="J73" s="24">
        <v>0</v>
      </c>
      <c r="K73" s="24">
        <v>0</v>
      </c>
      <c r="L73" s="24">
        <v>0</v>
      </c>
      <c r="M73" s="24">
        <v>0</v>
      </c>
      <c r="N73" s="24">
        <v>0</v>
      </c>
      <c r="O73" s="24">
        <v>0</v>
      </c>
      <c r="P73" s="24">
        <v>0</v>
      </c>
      <c r="Q73" s="24">
        <v>0</v>
      </c>
      <c r="R73" s="24">
        <v>0</v>
      </c>
    </row>
    <row r="74" spans="3:18" x14ac:dyDescent="0.25">
      <c r="C74" s="5" t="s">
        <v>63</v>
      </c>
      <c r="D74" s="24">
        <v>0</v>
      </c>
      <c r="E74" s="24">
        <v>0</v>
      </c>
      <c r="F74" s="24">
        <v>0</v>
      </c>
      <c r="G74" s="24">
        <v>0</v>
      </c>
      <c r="H74" s="24">
        <v>0</v>
      </c>
      <c r="I74" s="24">
        <v>0</v>
      </c>
      <c r="J74" s="24">
        <v>0</v>
      </c>
      <c r="K74" s="24">
        <v>0</v>
      </c>
      <c r="L74" s="24">
        <v>0</v>
      </c>
      <c r="M74" s="24">
        <v>0</v>
      </c>
      <c r="N74" s="24">
        <v>0</v>
      </c>
      <c r="O74" s="24">
        <v>0</v>
      </c>
      <c r="P74" s="24">
        <v>0</v>
      </c>
      <c r="Q74" s="24">
        <v>0</v>
      </c>
      <c r="R74" s="24">
        <v>0</v>
      </c>
    </row>
    <row r="75" spans="3:18" x14ac:dyDescent="0.25">
      <c r="C75" s="5" t="s">
        <v>64</v>
      </c>
      <c r="D75" s="24">
        <v>0</v>
      </c>
      <c r="E75" s="24">
        <v>0</v>
      </c>
      <c r="F75" s="24">
        <v>0</v>
      </c>
      <c r="G75" s="24">
        <v>0</v>
      </c>
      <c r="H75" s="24">
        <v>0</v>
      </c>
      <c r="I75" s="24">
        <v>0</v>
      </c>
      <c r="J75" s="24">
        <v>0</v>
      </c>
      <c r="K75" s="24">
        <v>0</v>
      </c>
      <c r="L75" s="24">
        <v>0</v>
      </c>
      <c r="M75" s="24">
        <v>0</v>
      </c>
      <c r="N75" s="24">
        <v>0</v>
      </c>
      <c r="O75" s="24">
        <v>0</v>
      </c>
      <c r="P75" s="24">
        <v>0</v>
      </c>
      <c r="Q75" s="24">
        <v>0</v>
      </c>
      <c r="R75" s="24">
        <v>0</v>
      </c>
    </row>
    <row r="76" spans="3:18" x14ac:dyDescent="0.25">
      <c r="C76" s="1" t="s">
        <v>67</v>
      </c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</row>
    <row r="77" spans="3:18" x14ac:dyDescent="0.25">
      <c r="C77" s="3" t="s">
        <v>68</v>
      </c>
      <c r="D77" s="25"/>
      <c r="E77" s="25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</row>
    <row r="78" spans="3:18" x14ac:dyDescent="0.25">
      <c r="C78" s="5" t="s">
        <v>69</v>
      </c>
      <c r="D78" s="24">
        <v>0</v>
      </c>
      <c r="E78" s="24">
        <v>0</v>
      </c>
      <c r="F78" s="24">
        <v>0</v>
      </c>
      <c r="G78" s="24">
        <v>0</v>
      </c>
      <c r="H78" s="24">
        <v>0</v>
      </c>
      <c r="I78" s="24">
        <v>0</v>
      </c>
      <c r="J78" s="24">
        <v>0</v>
      </c>
      <c r="K78" s="24">
        <v>0</v>
      </c>
      <c r="L78" s="24">
        <v>0</v>
      </c>
      <c r="M78" s="24">
        <v>0</v>
      </c>
      <c r="N78" s="24">
        <v>0</v>
      </c>
      <c r="O78" s="24">
        <v>0</v>
      </c>
      <c r="P78" s="24">
        <v>0</v>
      </c>
      <c r="Q78" s="24">
        <v>0</v>
      </c>
      <c r="R78" s="24">
        <v>0</v>
      </c>
    </row>
    <row r="79" spans="3:18" x14ac:dyDescent="0.25">
      <c r="C79" s="5" t="s">
        <v>70</v>
      </c>
      <c r="D79" s="24">
        <v>0</v>
      </c>
      <c r="E79" s="24">
        <v>0</v>
      </c>
      <c r="F79" s="24">
        <v>0</v>
      </c>
      <c r="G79" s="24">
        <v>0</v>
      </c>
      <c r="H79" s="24">
        <v>0</v>
      </c>
      <c r="I79" s="24">
        <v>0</v>
      </c>
      <c r="J79" s="24">
        <v>0</v>
      </c>
      <c r="K79" s="24">
        <v>0</v>
      </c>
      <c r="L79" s="24">
        <v>0</v>
      </c>
      <c r="M79" s="24">
        <v>0</v>
      </c>
      <c r="N79" s="24">
        <v>0</v>
      </c>
      <c r="O79" s="24">
        <v>0</v>
      </c>
      <c r="P79" s="24">
        <v>0</v>
      </c>
      <c r="Q79" s="24">
        <v>0</v>
      </c>
      <c r="R79" s="24">
        <v>0</v>
      </c>
    </row>
    <row r="80" spans="3:18" x14ac:dyDescent="0.25">
      <c r="C80" s="3" t="s">
        <v>71</v>
      </c>
      <c r="D80" s="25"/>
      <c r="E80" s="25"/>
      <c r="F80" s="25"/>
      <c r="G80" s="25"/>
      <c r="H80" s="25"/>
      <c r="I80" s="25"/>
      <c r="J80" s="25"/>
      <c r="K80" s="25"/>
      <c r="L80" s="25"/>
      <c r="M80" s="25"/>
      <c r="N80" s="25"/>
      <c r="O80" s="25"/>
      <c r="P80" s="25"/>
      <c r="Q80" s="25"/>
      <c r="R80" s="25"/>
    </row>
    <row r="81" spans="3:18" x14ac:dyDescent="0.25">
      <c r="C81" s="5" t="s">
        <v>72</v>
      </c>
      <c r="D81" s="24">
        <v>0</v>
      </c>
      <c r="E81" s="24">
        <v>0</v>
      </c>
      <c r="F81" s="24">
        <v>0</v>
      </c>
      <c r="G81" s="24">
        <v>0</v>
      </c>
      <c r="H81" s="24">
        <v>0</v>
      </c>
      <c r="I81" s="24">
        <v>0</v>
      </c>
      <c r="J81" s="24">
        <v>0</v>
      </c>
      <c r="K81" s="24">
        <v>0</v>
      </c>
      <c r="L81" s="24">
        <v>0</v>
      </c>
      <c r="M81" s="24">
        <v>0</v>
      </c>
      <c r="N81" s="24">
        <v>0</v>
      </c>
      <c r="O81" s="24">
        <v>0</v>
      </c>
      <c r="P81" s="24">
        <v>0</v>
      </c>
      <c r="Q81" s="24">
        <v>0</v>
      </c>
      <c r="R81" s="24">
        <v>0</v>
      </c>
    </row>
    <row r="82" spans="3:18" x14ac:dyDescent="0.25">
      <c r="C82" s="5" t="s">
        <v>73</v>
      </c>
      <c r="D82" s="24">
        <v>0</v>
      </c>
      <c r="E82" s="24">
        <v>0</v>
      </c>
      <c r="F82" s="24">
        <v>0</v>
      </c>
      <c r="G82" s="24">
        <v>0</v>
      </c>
      <c r="H82" s="24">
        <v>0</v>
      </c>
      <c r="I82" s="24">
        <v>0</v>
      </c>
      <c r="J82" s="24">
        <v>0</v>
      </c>
      <c r="K82" s="24">
        <v>0</v>
      </c>
      <c r="L82" s="24">
        <v>0</v>
      </c>
      <c r="M82" s="24">
        <v>0</v>
      </c>
      <c r="N82" s="24">
        <v>0</v>
      </c>
      <c r="O82" s="24">
        <v>0</v>
      </c>
      <c r="P82" s="24">
        <v>0</v>
      </c>
      <c r="Q82" s="24">
        <v>0</v>
      </c>
      <c r="R82" s="24">
        <v>0</v>
      </c>
    </row>
    <row r="83" spans="3:18" x14ac:dyDescent="0.25">
      <c r="C83" s="3" t="s">
        <v>74</v>
      </c>
      <c r="D83" s="25">
        <v>0</v>
      </c>
      <c r="E83" s="25">
        <v>0</v>
      </c>
      <c r="F83" s="25">
        <v>0</v>
      </c>
      <c r="G83" s="25">
        <v>0</v>
      </c>
      <c r="H83" s="25">
        <v>0</v>
      </c>
      <c r="I83" s="25">
        <v>0</v>
      </c>
      <c r="J83" s="25">
        <v>0</v>
      </c>
      <c r="K83" s="25">
        <v>0</v>
      </c>
      <c r="L83" s="25">
        <v>0</v>
      </c>
      <c r="M83" s="25">
        <v>0</v>
      </c>
      <c r="N83" s="25">
        <v>0</v>
      </c>
      <c r="O83" s="25">
        <v>0</v>
      </c>
      <c r="P83" s="25">
        <v>0</v>
      </c>
      <c r="Q83" s="25">
        <v>0</v>
      </c>
      <c r="R83" s="25">
        <v>0</v>
      </c>
    </row>
    <row r="84" spans="3:18" x14ac:dyDescent="0.25">
      <c r="C84" s="5" t="s">
        <v>75</v>
      </c>
      <c r="D84" s="24">
        <v>0</v>
      </c>
      <c r="E84" s="24">
        <v>0</v>
      </c>
      <c r="F84" s="24">
        <v>0</v>
      </c>
      <c r="G84" s="24">
        <v>0</v>
      </c>
      <c r="H84" s="24">
        <v>0</v>
      </c>
      <c r="I84" s="24">
        <v>0</v>
      </c>
      <c r="J84" s="24">
        <v>0</v>
      </c>
      <c r="K84" s="24">
        <v>0</v>
      </c>
      <c r="L84" s="24">
        <v>0</v>
      </c>
      <c r="M84" s="24">
        <v>0</v>
      </c>
      <c r="N84" s="24">
        <v>0</v>
      </c>
      <c r="O84" s="24">
        <v>0</v>
      </c>
      <c r="P84" s="24">
        <v>0</v>
      </c>
      <c r="Q84" s="24">
        <v>0</v>
      </c>
      <c r="R84" s="24">
        <v>0</v>
      </c>
    </row>
    <row r="85" spans="3:18" x14ac:dyDescent="0.25">
      <c r="C85" s="9" t="s">
        <v>65</v>
      </c>
      <c r="D85" s="28">
        <f>D54+D38+D28+D18+D12</f>
        <v>317021740</v>
      </c>
      <c r="E85" s="28">
        <f>E54+E38+E28+E18+E12</f>
        <v>331531740</v>
      </c>
      <c r="F85" s="28">
        <f t="shared" ref="F85:R85" si="9">F54+F38+F28+F18+F12</f>
        <v>21633205.310000002</v>
      </c>
      <c r="G85" s="28">
        <f t="shared" si="9"/>
        <v>20824345.340000004</v>
      </c>
      <c r="H85" s="28">
        <f t="shared" si="9"/>
        <v>24539426.48</v>
      </c>
      <c r="I85" s="28">
        <f t="shared" si="9"/>
        <v>23461468.329999998</v>
      </c>
      <c r="J85" s="28">
        <f t="shared" si="9"/>
        <v>33047756.050000001</v>
      </c>
      <c r="K85" s="28">
        <f t="shared" si="9"/>
        <v>25202494.369999997</v>
      </c>
      <c r="L85" s="28">
        <f t="shared" si="9"/>
        <v>22860437.009999998</v>
      </c>
      <c r="M85" s="28">
        <f t="shared" si="9"/>
        <v>22657354.092999998</v>
      </c>
      <c r="N85" s="28">
        <f t="shared" si="9"/>
        <v>22694397.009999998</v>
      </c>
      <c r="O85" s="28">
        <f t="shared" si="9"/>
        <v>34566439.890000001</v>
      </c>
      <c r="P85" s="28">
        <f t="shared" si="9"/>
        <v>38269557.840000004</v>
      </c>
      <c r="Q85" s="28">
        <f t="shared" si="9"/>
        <v>0</v>
      </c>
      <c r="R85" s="28">
        <f t="shared" si="9"/>
        <v>289756881.72299999</v>
      </c>
    </row>
    <row r="86" spans="3:18" x14ac:dyDescent="0.25">
      <c r="C86" s="37" t="s">
        <v>112</v>
      </c>
    </row>
    <row r="91" spans="3:18" ht="13.5" customHeight="1" x14ac:dyDescent="0.3">
      <c r="C91" s="31"/>
      <c r="D91" s="30"/>
      <c r="E91" s="30"/>
      <c r="F91" s="30"/>
      <c r="G91" s="31"/>
      <c r="H91" s="32"/>
      <c r="J91" s="33"/>
      <c r="K91" s="30"/>
    </row>
    <row r="92" spans="3:18" ht="36" customHeight="1" x14ac:dyDescent="0.25"/>
    <row r="93" spans="3:18" ht="18.75" x14ac:dyDescent="0.3">
      <c r="C93" s="31"/>
      <c r="D93" s="31" t="s">
        <v>101</v>
      </c>
      <c r="E93" s="30"/>
      <c r="F93" s="30"/>
      <c r="G93" s="30"/>
      <c r="H93" s="31" t="s">
        <v>102</v>
      </c>
      <c r="J93" s="32"/>
      <c r="L93" s="33"/>
      <c r="M93" s="30"/>
    </row>
    <row r="94" spans="3:18" ht="18.75" x14ac:dyDescent="0.3">
      <c r="C94" s="34"/>
      <c r="D94" s="34" t="s">
        <v>103</v>
      </c>
      <c r="E94" s="32"/>
      <c r="F94" s="30"/>
      <c r="G94" s="30"/>
      <c r="H94" s="34" t="s">
        <v>103</v>
      </c>
      <c r="J94" s="34"/>
      <c r="K94" s="30"/>
      <c r="L94" s="30"/>
      <c r="M94" s="30"/>
    </row>
    <row r="95" spans="3:18" ht="18.75" x14ac:dyDescent="0.3">
      <c r="C95" s="32"/>
      <c r="D95" s="32" t="s">
        <v>104</v>
      </c>
      <c r="E95" s="32"/>
      <c r="F95" s="30"/>
      <c r="G95" s="30"/>
      <c r="H95" s="32" t="s">
        <v>105</v>
      </c>
      <c r="I95" s="46" t="s">
        <v>107</v>
      </c>
      <c r="J95" s="46"/>
      <c r="K95" s="46"/>
      <c r="L95" s="46"/>
      <c r="M95" s="30"/>
    </row>
    <row r="96" spans="3:18" ht="18.75" x14ac:dyDescent="0.3">
      <c r="C96" s="32"/>
      <c r="D96" s="32" t="s">
        <v>106</v>
      </c>
      <c r="E96" s="32"/>
      <c r="F96" s="30"/>
      <c r="G96" s="30"/>
      <c r="H96" s="32" t="s">
        <v>108</v>
      </c>
      <c r="J96" s="32"/>
      <c r="K96" s="30"/>
      <c r="L96" s="30"/>
      <c r="M96" s="30"/>
    </row>
    <row r="97" spans="4:13" ht="18.75" x14ac:dyDescent="0.3">
      <c r="F97" s="30"/>
      <c r="G97" s="30"/>
      <c r="H97" s="30"/>
      <c r="J97" s="30"/>
      <c r="K97" s="30"/>
      <c r="L97" s="30"/>
      <c r="M97" s="30"/>
    </row>
    <row r="98" spans="4:13" ht="18.75" x14ac:dyDescent="0.25">
      <c r="D98" s="32"/>
    </row>
  </sheetData>
  <mergeCells count="10">
    <mergeCell ref="I95:L95"/>
    <mergeCell ref="C7:R7"/>
    <mergeCell ref="F9:R9"/>
    <mergeCell ref="C3:R3"/>
    <mergeCell ref="C4:R4"/>
    <mergeCell ref="C9:C10"/>
    <mergeCell ref="D9:D10"/>
    <mergeCell ref="E9:E10"/>
    <mergeCell ref="C5:R5"/>
    <mergeCell ref="C6:R6"/>
  </mergeCells>
  <pageMargins left="0.11811023622047245" right="0.11811023622047245" top="0.19685039370078741" bottom="0.15748031496062992" header="0.31496062992125984" footer="0.31496062992125984"/>
  <pageSetup paperSize="5" scale="55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O91"/>
  <sheetViews>
    <sheetView showGridLines="0" tabSelected="1" topLeftCell="A63" zoomScaleNormal="100" workbookViewId="0">
      <selection activeCell="L72" sqref="L72"/>
    </sheetView>
  </sheetViews>
  <sheetFormatPr defaultColWidth="11.42578125" defaultRowHeight="15" x14ac:dyDescent="0.25"/>
  <cols>
    <col min="1" max="1" width="70.42578125" customWidth="1"/>
    <col min="2" max="2" width="13.28515625" customWidth="1"/>
    <col min="3" max="3" width="14.5703125" customWidth="1"/>
    <col min="4" max="5" width="13.5703125" customWidth="1"/>
    <col min="6" max="6" width="14.140625" customWidth="1"/>
    <col min="7" max="7" width="14.28515625" customWidth="1"/>
    <col min="8" max="8" width="14" customWidth="1"/>
    <col min="9" max="9" width="13.85546875" customWidth="1"/>
    <col min="10" max="10" width="14" customWidth="1"/>
    <col min="11" max="11" width="13.28515625" customWidth="1"/>
    <col min="12" max="12" width="14.5703125" customWidth="1"/>
    <col min="13" max="13" width="14.140625" customWidth="1"/>
    <col min="14" max="14" width="14.5703125" customWidth="1"/>
  </cols>
  <sheetData>
    <row r="2" spans="1:15" ht="21" customHeight="1" x14ac:dyDescent="0.25">
      <c r="A2" s="55" t="s">
        <v>111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</row>
    <row r="3" spans="1:15" ht="16.5" customHeight="1" x14ac:dyDescent="0.25">
      <c r="A3" s="57" t="s">
        <v>100</v>
      </c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</row>
    <row r="4" spans="1:15" ht="10.5" customHeight="1" x14ac:dyDescent="0.25">
      <c r="A4" s="44">
        <v>2024</v>
      </c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</row>
    <row r="5" spans="1:15" ht="15.75" customHeight="1" x14ac:dyDescent="0.25">
      <c r="A5" s="39" t="s">
        <v>92</v>
      </c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</row>
    <row r="6" spans="1:15" ht="12.75" customHeight="1" x14ac:dyDescent="0.25">
      <c r="A6" s="40" t="s">
        <v>77</v>
      </c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</row>
    <row r="7" spans="1:15" ht="5.25" customHeight="1" x14ac:dyDescent="0.25"/>
    <row r="8" spans="1:15" ht="33.75" customHeight="1" x14ac:dyDescent="0.25">
      <c r="A8" s="7" t="s">
        <v>66</v>
      </c>
      <c r="B8" s="18" t="s">
        <v>79</v>
      </c>
      <c r="C8" s="18" t="s">
        <v>80</v>
      </c>
      <c r="D8" s="18" t="s">
        <v>81</v>
      </c>
      <c r="E8" s="18" t="s">
        <v>82</v>
      </c>
      <c r="F8" s="19" t="s">
        <v>83</v>
      </c>
      <c r="G8" s="18" t="s">
        <v>84</v>
      </c>
      <c r="H8" s="19" t="s">
        <v>85</v>
      </c>
      <c r="I8" s="18" t="s">
        <v>86</v>
      </c>
      <c r="J8" s="35" t="s">
        <v>87</v>
      </c>
      <c r="K8" s="35" t="s">
        <v>88</v>
      </c>
      <c r="L8" s="35" t="s">
        <v>89</v>
      </c>
      <c r="M8" s="35" t="s">
        <v>90</v>
      </c>
      <c r="N8" s="18" t="s">
        <v>78</v>
      </c>
    </row>
    <row r="9" spans="1:15" x14ac:dyDescent="0.25">
      <c r="A9" s="1" t="s">
        <v>0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</row>
    <row r="10" spans="1:15" x14ac:dyDescent="0.25">
      <c r="A10" s="3" t="s">
        <v>1</v>
      </c>
      <c r="B10" s="25">
        <f>B11+B12+B15</f>
        <v>14296930.99</v>
      </c>
      <c r="C10" s="25">
        <f t="shared" ref="C10:M10" si="0">C11+C12+C15</f>
        <v>14372212.879999999</v>
      </c>
      <c r="D10" s="25">
        <f t="shared" si="0"/>
        <v>15495728.01</v>
      </c>
      <c r="E10" s="25">
        <f t="shared" si="0"/>
        <v>14490865.289999999</v>
      </c>
      <c r="F10" s="25">
        <f t="shared" si="0"/>
        <v>26405869.960000001</v>
      </c>
      <c r="G10" s="25">
        <f t="shared" si="0"/>
        <v>14862186.59</v>
      </c>
      <c r="H10" s="25">
        <f t="shared" si="0"/>
        <v>14790923.1</v>
      </c>
      <c r="I10" s="25">
        <f>I11+I12+I15</f>
        <v>14902826.799999999</v>
      </c>
      <c r="J10" s="25">
        <f t="shared" si="0"/>
        <v>14468897.75</v>
      </c>
      <c r="K10" s="25">
        <f t="shared" si="0"/>
        <v>28762097.879999999</v>
      </c>
      <c r="L10" s="25">
        <f t="shared" si="0"/>
        <v>27504141.890000001</v>
      </c>
      <c r="M10" s="25">
        <f t="shared" si="0"/>
        <v>0</v>
      </c>
      <c r="N10" s="25">
        <f>SUM(B10:M10)</f>
        <v>200352681.13999999</v>
      </c>
    </row>
    <row r="11" spans="1:15" ht="17.25" customHeight="1" x14ac:dyDescent="0.25">
      <c r="A11" s="5" t="s">
        <v>2</v>
      </c>
      <c r="B11" s="24">
        <v>12143507.34</v>
      </c>
      <c r="C11" s="24">
        <v>12203807.09</v>
      </c>
      <c r="D11" s="24">
        <f>11075307.09+660500+918000+745846.78</f>
        <v>13399653.869999999</v>
      </c>
      <c r="E11" s="24">
        <v>12344243.439999999</v>
      </c>
      <c r="F11" s="24">
        <v>24314245.59</v>
      </c>
      <c r="G11" s="24">
        <f>11954420.44+490000+57750+179453.16</f>
        <v>12681623.6</v>
      </c>
      <c r="H11" s="24">
        <v>12593683.199999999</v>
      </c>
      <c r="I11" s="24">
        <v>12717348.529999999</v>
      </c>
      <c r="J11" s="24">
        <v>12326589.609999999</v>
      </c>
      <c r="K11" s="24">
        <f>12191064.61+67000+80011.66+1736224+352369.17</f>
        <v>14426669.439999999</v>
      </c>
      <c r="L11" s="24">
        <v>25338456.960000001</v>
      </c>
      <c r="M11" s="24">
        <v>0</v>
      </c>
      <c r="N11" s="24">
        <f>SUM(B11:M11)</f>
        <v>164489828.67000002</v>
      </c>
    </row>
    <row r="12" spans="1:15" ht="17.25" customHeight="1" x14ac:dyDescent="0.25">
      <c r="A12" s="5" t="s">
        <v>3</v>
      </c>
      <c r="B12" s="24">
        <v>333500</v>
      </c>
      <c r="C12" s="24">
        <v>333500</v>
      </c>
      <c r="D12" s="24">
        <v>333500</v>
      </c>
      <c r="E12" s="24">
        <v>333500</v>
      </c>
      <c r="F12" s="24">
        <v>308500</v>
      </c>
      <c r="G12" s="24">
        <v>308500</v>
      </c>
      <c r="H12" s="24">
        <v>333500</v>
      </c>
      <c r="I12" s="24">
        <v>333500</v>
      </c>
      <c r="J12" s="24">
        <v>288500</v>
      </c>
      <c r="K12" s="24">
        <f>313700+12178699.27</f>
        <v>12492399.27</v>
      </c>
      <c r="L12" s="24">
        <v>309500</v>
      </c>
      <c r="M12" s="24">
        <v>0</v>
      </c>
      <c r="N12" s="24">
        <f>SUM(B12:M12)</f>
        <v>15708399.27</v>
      </c>
    </row>
    <row r="13" spans="1:15" ht="17.25" customHeight="1" x14ac:dyDescent="0.25">
      <c r="A13" s="5" t="s">
        <v>4</v>
      </c>
      <c r="B13" s="24">
        <v>0</v>
      </c>
      <c r="C13" s="24">
        <v>0</v>
      </c>
      <c r="D13" s="24">
        <v>0</v>
      </c>
      <c r="E13" s="24">
        <v>0</v>
      </c>
      <c r="F13" s="24">
        <v>0</v>
      </c>
      <c r="G13" s="24">
        <v>0</v>
      </c>
      <c r="H13" s="24">
        <v>0</v>
      </c>
      <c r="I13" s="24">
        <v>0</v>
      </c>
      <c r="J13" s="24">
        <v>0</v>
      </c>
      <c r="K13" s="24">
        <v>0</v>
      </c>
      <c r="L13" s="24">
        <v>0</v>
      </c>
      <c r="M13" s="24">
        <v>0</v>
      </c>
      <c r="N13" s="24">
        <v>0</v>
      </c>
      <c r="O13" s="17"/>
    </row>
    <row r="14" spans="1:15" ht="17.25" customHeight="1" x14ac:dyDescent="0.25">
      <c r="A14" s="5" t="s">
        <v>5</v>
      </c>
      <c r="B14" s="24">
        <v>0</v>
      </c>
      <c r="C14" s="24">
        <v>0</v>
      </c>
      <c r="D14" s="24">
        <v>0</v>
      </c>
      <c r="E14" s="24">
        <v>0</v>
      </c>
      <c r="F14" s="24">
        <v>0</v>
      </c>
      <c r="G14" s="24">
        <v>0</v>
      </c>
      <c r="H14" s="24">
        <v>0</v>
      </c>
      <c r="I14" s="24">
        <v>0</v>
      </c>
      <c r="J14" s="24">
        <v>0</v>
      </c>
      <c r="K14" s="24">
        <v>0</v>
      </c>
      <c r="L14" s="24">
        <v>0</v>
      </c>
      <c r="M14" s="24">
        <v>0</v>
      </c>
      <c r="N14" s="24">
        <v>0</v>
      </c>
    </row>
    <row r="15" spans="1:15" ht="17.25" customHeight="1" x14ac:dyDescent="0.25">
      <c r="A15" s="5" t="s">
        <v>6</v>
      </c>
      <c r="B15" s="24">
        <v>1819923.65</v>
      </c>
      <c r="C15" s="24">
        <v>1834905.79</v>
      </c>
      <c r="D15" s="24">
        <f>825129.52+833242.3+104202.32</f>
        <v>1762574.1400000001</v>
      </c>
      <c r="E15" s="24">
        <v>1813121.85</v>
      </c>
      <c r="F15" s="24">
        <v>1783124.37</v>
      </c>
      <c r="G15" s="24">
        <f>876469.07+883553.85+112040.07</f>
        <v>1872062.99</v>
      </c>
      <c r="H15" s="24">
        <v>1863739.9</v>
      </c>
      <c r="I15" s="24">
        <v>1851978.27</v>
      </c>
      <c r="J15" s="24">
        <v>1853808.14</v>
      </c>
      <c r="K15" s="24">
        <f>862192.95+870322.58+110513.64</f>
        <v>1843029.1699999997</v>
      </c>
      <c r="L15" s="24">
        <v>1856184.93</v>
      </c>
      <c r="M15" s="24">
        <v>0</v>
      </c>
      <c r="N15" s="24">
        <f>SUM(B15:M15)</f>
        <v>20154453.199999999</v>
      </c>
    </row>
    <row r="16" spans="1:15" ht="17.25" customHeight="1" x14ac:dyDescent="0.25">
      <c r="A16" s="3" t="s">
        <v>7</v>
      </c>
      <c r="B16" s="25">
        <f t="shared" ref="B16:I16" si="1">B17+B18+B19+B20+B21+B22+B23+B24+B25</f>
        <v>6620670.3200000003</v>
      </c>
      <c r="C16" s="25">
        <f t="shared" si="1"/>
        <v>4391463.0600000005</v>
      </c>
      <c r="D16" s="25">
        <f t="shared" si="1"/>
        <v>8824323.0700000003</v>
      </c>
      <c r="E16" s="25">
        <f t="shared" si="1"/>
        <v>7688170.1600000001</v>
      </c>
      <c r="F16" s="25">
        <f t="shared" si="1"/>
        <v>5483939.25</v>
      </c>
      <c r="G16" s="25">
        <f>G17+G18+G19+G20+G21+G22+G23+G24+G25</f>
        <v>7848671.5499999998</v>
      </c>
      <c r="H16" s="25">
        <f t="shared" si="1"/>
        <v>7113597.3099999996</v>
      </c>
      <c r="I16" s="25">
        <f t="shared" si="1"/>
        <v>6608735.9600000009</v>
      </c>
      <c r="J16" s="25">
        <f>J17+J18+J19+J20+J21+J22+J23+J24+J25</f>
        <v>7080793.5300000003</v>
      </c>
      <c r="K16" s="25">
        <f t="shared" ref="K16" si="2">K17+K18+K19+K20+K21+K22+K23+K24</f>
        <v>5621676</v>
      </c>
      <c r="L16" s="25">
        <f>L17+L18+L19+L20+L21+L22+L23+L24+L25</f>
        <v>8704288.3499999996</v>
      </c>
      <c r="M16" s="25">
        <f>M17+M18+M19+M20+M21+M22+M23+M24+M25</f>
        <v>0</v>
      </c>
      <c r="N16" s="25">
        <f>N17+N18+N19+N20+N21+N22+N23+N24+N25</f>
        <v>75986328.559999987</v>
      </c>
    </row>
    <row r="17" spans="1:14" ht="17.25" customHeight="1" x14ac:dyDescent="0.25">
      <c r="A17" s="5" t="s">
        <v>8</v>
      </c>
      <c r="B17" s="24">
        <v>2305139.54</v>
      </c>
      <c r="C17" s="24">
        <v>2195976.98</v>
      </c>
      <c r="D17" s="24">
        <f>531894.62+219894.11+999645.05+574030.01</f>
        <v>2325463.79</v>
      </c>
      <c r="E17" s="24">
        <v>2291313.2000000002</v>
      </c>
      <c r="F17" s="24">
        <f>474796.68+207121.11+993058.71+598636.33</f>
        <v>2273612.83</v>
      </c>
      <c r="G17" s="24">
        <f>476705.04+203644.1+993567.39+621874.83</f>
        <v>2295791.36</v>
      </c>
      <c r="H17" s="24">
        <v>2182509.9300000002</v>
      </c>
      <c r="I17" s="24">
        <v>2344086.4900000002</v>
      </c>
      <c r="J17" s="24">
        <v>2228402.77</v>
      </c>
      <c r="K17" s="24">
        <f>42884.77+173908.96+940070.66+651179.05</f>
        <v>1808043.4400000002</v>
      </c>
      <c r="L17" s="24">
        <v>2039228.38</v>
      </c>
      <c r="M17" s="24">
        <v>0</v>
      </c>
      <c r="N17" s="24">
        <f>SUM(B17:M17)</f>
        <v>24289568.709999997</v>
      </c>
    </row>
    <row r="18" spans="1:14" ht="17.25" customHeight="1" x14ac:dyDescent="0.25">
      <c r="A18" s="5" t="s">
        <v>9</v>
      </c>
      <c r="B18" s="24">
        <v>0</v>
      </c>
      <c r="C18" s="24">
        <v>0</v>
      </c>
      <c r="D18" s="24">
        <v>0</v>
      </c>
      <c r="E18" s="24">
        <v>0</v>
      </c>
      <c r="F18" s="24">
        <v>0</v>
      </c>
      <c r="G18" s="24">
        <v>0</v>
      </c>
      <c r="H18" s="24">
        <v>0</v>
      </c>
      <c r="I18" s="24">
        <v>0</v>
      </c>
      <c r="J18" s="24">
        <v>18585</v>
      </c>
      <c r="K18" s="24">
        <v>0</v>
      </c>
      <c r="L18" s="24">
        <v>0</v>
      </c>
      <c r="M18" s="24">
        <v>0</v>
      </c>
      <c r="N18" s="24">
        <f t="shared" ref="N18:N23" si="3">SUM(B18:M18)</f>
        <v>18585</v>
      </c>
    </row>
    <row r="19" spans="1:14" ht="17.25" customHeight="1" x14ac:dyDescent="0.25">
      <c r="A19" s="5" t="s">
        <v>10</v>
      </c>
      <c r="B19" s="24">
        <v>2686800</v>
      </c>
      <c r="C19" s="24">
        <v>1180200</v>
      </c>
      <c r="D19" s="24">
        <v>2909800</v>
      </c>
      <c r="E19" s="24">
        <v>1077200</v>
      </c>
      <c r="F19" s="24">
        <v>0</v>
      </c>
      <c r="G19" s="24">
        <v>0</v>
      </c>
      <c r="H19" s="24">
        <v>2028795</v>
      </c>
      <c r="I19" s="24">
        <v>0</v>
      </c>
      <c r="J19" s="24">
        <v>157200</v>
      </c>
      <c r="K19" s="24">
        <v>57600</v>
      </c>
      <c r="L19" s="24">
        <v>2311700</v>
      </c>
      <c r="M19" s="24">
        <v>0</v>
      </c>
      <c r="N19" s="24">
        <f t="shared" si="3"/>
        <v>12409295</v>
      </c>
    </row>
    <row r="20" spans="1:14" ht="17.25" customHeight="1" x14ac:dyDescent="0.25">
      <c r="A20" s="5" t="s">
        <v>11</v>
      </c>
      <c r="B20" s="24">
        <v>0</v>
      </c>
      <c r="C20" s="24">
        <v>0</v>
      </c>
      <c r="D20" s="24">
        <v>0</v>
      </c>
      <c r="E20" s="24">
        <v>13000</v>
      </c>
      <c r="F20" s="24">
        <v>0</v>
      </c>
      <c r="G20" s="24">
        <v>0</v>
      </c>
      <c r="H20" s="24">
        <v>0</v>
      </c>
      <c r="I20" s="24">
        <v>0</v>
      </c>
      <c r="J20" s="24">
        <v>0</v>
      </c>
      <c r="K20" s="24">
        <v>0</v>
      </c>
      <c r="L20" s="24">
        <v>54000</v>
      </c>
      <c r="M20" s="24">
        <v>0</v>
      </c>
      <c r="N20" s="24">
        <f t="shared" si="3"/>
        <v>67000</v>
      </c>
    </row>
    <row r="21" spans="1:14" ht="17.25" customHeight="1" x14ac:dyDescent="0.25">
      <c r="A21" s="5" t="s">
        <v>12</v>
      </c>
      <c r="B21" s="24">
        <v>0</v>
      </c>
      <c r="C21" s="24">
        <v>217739.5</v>
      </c>
      <c r="D21" s="24">
        <f>2205964.26+76517.1</f>
        <v>2282481.36</v>
      </c>
      <c r="E21" s="24">
        <v>1670527.88</v>
      </c>
      <c r="F21" s="24">
        <v>1677826.33</v>
      </c>
      <c r="G21" s="24">
        <v>2950844.98</v>
      </c>
      <c r="H21" s="24">
        <v>1432364.98</v>
      </c>
      <c r="I21" s="24">
        <v>2307019.81</v>
      </c>
      <c r="J21" s="24">
        <v>2634129.5499999998</v>
      </c>
      <c r="K21" s="24">
        <f>1320514.55+84488</f>
        <v>1405002.55</v>
      </c>
      <c r="L21" s="24">
        <v>1734297.97</v>
      </c>
      <c r="M21" s="24">
        <v>0</v>
      </c>
      <c r="N21" s="24">
        <f t="shared" si="3"/>
        <v>18312234.91</v>
      </c>
    </row>
    <row r="22" spans="1:14" ht="17.25" customHeight="1" x14ac:dyDescent="0.25">
      <c r="A22" s="5" t="s">
        <v>13</v>
      </c>
      <c r="B22" s="24">
        <v>1346926.08</v>
      </c>
      <c r="C22" s="24">
        <v>588468.36</v>
      </c>
      <c r="D22" s="24">
        <v>978800.4</v>
      </c>
      <c r="E22" s="24">
        <v>1403825.58</v>
      </c>
      <c r="F22" s="24">
        <v>1336974.0900000001</v>
      </c>
      <c r="G22" s="24">
        <v>1105871.75</v>
      </c>
      <c r="H22" s="24">
        <v>1071583.1000000001</v>
      </c>
      <c r="I22" s="24">
        <v>1523758.37</v>
      </c>
      <c r="J22" s="24">
        <v>1475442.64</v>
      </c>
      <c r="K22" s="24">
        <v>1252702.54</v>
      </c>
      <c r="L22" s="24">
        <v>1225786.6399999999</v>
      </c>
      <c r="M22" s="24">
        <v>0</v>
      </c>
      <c r="N22" s="24">
        <f t="shared" si="3"/>
        <v>13310139.550000001</v>
      </c>
    </row>
    <row r="23" spans="1:14" ht="27" customHeight="1" x14ac:dyDescent="0.25">
      <c r="A23" s="29" t="s">
        <v>14</v>
      </c>
      <c r="B23" s="24">
        <v>0</v>
      </c>
      <c r="C23" s="24">
        <v>103701.86</v>
      </c>
      <c r="D23" s="24">
        <v>0</v>
      </c>
      <c r="E23" s="24">
        <v>308853.2</v>
      </c>
      <c r="F23" s="24">
        <v>10384</v>
      </c>
      <c r="G23" s="24">
        <f>498555.9+164413.33+155810.66</f>
        <v>818779.89</v>
      </c>
      <c r="H23" s="24">
        <v>57741.33</v>
      </c>
      <c r="I23" s="24">
        <v>57741.33</v>
      </c>
      <c r="J23" s="24">
        <v>322297.33</v>
      </c>
      <c r="K23" s="24">
        <f>160952+83347.33+41300</f>
        <v>285599.33</v>
      </c>
      <c r="L23" s="24">
        <v>385270</v>
      </c>
      <c r="M23" s="24">
        <v>0</v>
      </c>
      <c r="N23" s="24">
        <f t="shared" si="3"/>
        <v>2350368.2700000005</v>
      </c>
    </row>
    <row r="24" spans="1:14" ht="17.25" customHeight="1" x14ac:dyDescent="0.25">
      <c r="A24" s="5" t="s">
        <v>15</v>
      </c>
      <c r="B24" s="24">
        <v>0</v>
      </c>
      <c r="C24" s="24">
        <v>26786</v>
      </c>
      <c r="D24" s="24">
        <f>66000</f>
        <v>66000</v>
      </c>
      <c r="E24" s="24">
        <v>708000</v>
      </c>
      <c r="F24" s="24">
        <v>4602</v>
      </c>
      <c r="G24" s="24">
        <f>18408+303100</f>
        <v>321508</v>
      </c>
      <c r="H24" s="24">
        <v>8614</v>
      </c>
      <c r="I24" s="24">
        <v>125230</v>
      </c>
      <c r="J24" s="24">
        <v>30962.26</v>
      </c>
      <c r="K24" s="24">
        <v>812728.14</v>
      </c>
      <c r="L24" s="24">
        <v>489520</v>
      </c>
      <c r="M24" s="24">
        <v>0</v>
      </c>
      <c r="N24" s="24">
        <f>SUM(B24:M24)</f>
        <v>2593950.4</v>
      </c>
    </row>
    <row r="25" spans="1:14" ht="17.25" customHeight="1" x14ac:dyDescent="0.25">
      <c r="A25" s="5" t="s">
        <v>16</v>
      </c>
      <c r="B25" s="24">
        <v>281804.7</v>
      </c>
      <c r="C25" s="24">
        <v>78590.36</v>
      </c>
      <c r="D25" s="24">
        <f>261777.52</f>
        <v>261777.52</v>
      </c>
      <c r="E25" s="24">
        <v>215450.3</v>
      </c>
      <c r="F25" s="24">
        <v>180540</v>
      </c>
      <c r="G25" s="24">
        <f>15458+263339.97+77077.6</f>
        <v>355875.56999999995</v>
      </c>
      <c r="H25" s="24">
        <v>331988.96999999997</v>
      </c>
      <c r="I25" s="24">
        <v>250899.96</v>
      </c>
      <c r="J25" s="24">
        <v>213773.98</v>
      </c>
      <c r="K25" s="24">
        <v>0</v>
      </c>
      <c r="L25" s="24">
        <v>464485.36</v>
      </c>
      <c r="M25" s="24">
        <v>0</v>
      </c>
      <c r="N25" s="24">
        <f>SUM(B25:M25)</f>
        <v>2635186.7199999997</v>
      </c>
    </row>
    <row r="26" spans="1:14" ht="17.25" customHeight="1" x14ac:dyDescent="0.25">
      <c r="A26" s="3" t="s">
        <v>17</v>
      </c>
      <c r="B26" s="25">
        <f>B27+B28+B29+B30+B31+B32+B33</f>
        <v>715604</v>
      </c>
      <c r="C26" s="25">
        <f>C27+C28+C29+C30+C31+C32+C33+C35</f>
        <v>2060669.4</v>
      </c>
      <c r="D26" s="25">
        <f>D27+D28+D29+D30+D31+D32</f>
        <v>195375.4</v>
      </c>
      <c r="E26" s="25">
        <f>E27+E28+E29+E30+E31+E32+E35+E33</f>
        <v>1282432.8799999999</v>
      </c>
      <c r="F26" s="25">
        <f t="shared" ref="F26:N26" si="4">F27+F28+F29+F30+F31+F32+F33+F35</f>
        <v>1063414.23</v>
      </c>
      <c r="G26" s="25">
        <f t="shared" si="4"/>
        <v>2451261.69</v>
      </c>
      <c r="H26" s="25">
        <f t="shared" si="4"/>
        <v>955916.6</v>
      </c>
      <c r="I26" s="25">
        <f t="shared" si="4"/>
        <v>1020059.72</v>
      </c>
      <c r="J26" s="25">
        <f t="shared" si="4"/>
        <v>1033769.2100000001</v>
      </c>
      <c r="K26" s="25">
        <f t="shared" si="4"/>
        <v>86918</v>
      </c>
      <c r="L26" s="25">
        <f t="shared" si="4"/>
        <v>1994243.6</v>
      </c>
      <c r="M26" s="25">
        <f t="shared" si="4"/>
        <v>0</v>
      </c>
      <c r="N26" s="25">
        <f t="shared" si="4"/>
        <v>12859664.73</v>
      </c>
    </row>
    <row r="27" spans="1:14" ht="17.25" customHeight="1" x14ac:dyDescent="0.25">
      <c r="A27" s="5" t="s">
        <v>18</v>
      </c>
      <c r="B27" s="24">
        <v>0</v>
      </c>
      <c r="C27" s="24">
        <v>36193.199999999997</v>
      </c>
      <c r="D27" s="24">
        <f>11260</f>
        <v>11260</v>
      </c>
      <c r="E27" s="24">
        <v>97335.29</v>
      </c>
      <c r="F27" s="24">
        <v>107385.66</v>
      </c>
      <c r="G27" s="24">
        <f>11520+13003.6</f>
        <v>24523.599999999999</v>
      </c>
      <c r="H27" s="24">
        <v>28302.6</v>
      </c>
      <c r="I27" s="24">
        <v>15889</v>
      </c>
      <c r="J27" s="24">
        <v>104911.63</v>
      </c>
      <c r="K27" s="24">
        <v>20700</v>
      </c>
      <c r="L27" s="24">
        <v>3304</v>
      </c>
      <c r="M27" s="24">
        <v>0</v>
      </c>
      <c r="N27" s="24">
        <f t="shared" ref="N27:N37" si="5">SUM(B27:M27)</f>
        <v>449804.98</v>
      </c>
    </row>
    <row r="28" spans="1:14" ht="17.25" customHeight="1" x14ac:dyDescent="0.25">
      <c r="A28" s="5" t="s">
        <v>19</v>
      </c>
      <c r="B28" s="24">
        <v>0</v>
      </c>
      <c r="C28" s="24">
        <v>0</v>
      </c>
      <c r="D28" s="24">
        <v>184115.4</v>
      </c>
      <c r="E28" s="24">
        <v>0</v>
      </c>
      <c r="F28" s="24">
        <v>0</v>
      </c>
      <c r="G28" s="24">
        <v>0</v>
      </c>
      <c r="H28" s="24">
        <v>0</v>
      </c>
      <c r="I28" s="24">
        <v>0</v>
      </c>
      <c r="J28" s="24">
        <v>0</v>
      </c>
      <c r="K28" s="24">
        <v>0</v>
      </c>
      <c r="L28" s="24">
        <v>0</v>
      </c>
      <c r="M28" s="24">
        <v>0</v>
      </c>
      <c r="N28" s="24">
        <f t="shared" si="5"/>
        <v>184115.4</v>
      </c>
    </row>
    <row r="29" spans="1:14" ht="17.25" customHeight="1" x14ac:dyDescent="0.25">
      <c r="A29" s="5" t="s">
        <v>20</v>
      </c>
      <c r="B29" s="24">
        <v>0</v>
      </c>
      <c r="C29" s="24">
        <v>0</v>
      </c>
      <c r="D29" s="24">
        <v>0</v>
      </c>
      <c r="E29" s="24">
        <v>218652.21</v>
      </c>
      <c r="F29" s="24">
        <v>0</v>
      </c>
      <c r="G29" s="24">
        <v>3450</v>
      </c>
      <c r="H29" s="24">
        <v>0</v>
      </c>
      <c r="I29" s="24">
        <v>0</v>
      </c>
      <c r="J29" s="24">
        <v>113006.38</v>
      </c>
      <c r="K29" s="24">
        <f>52269.28+8025</f>
        <v>60294.28</v>
      </c>
      <c r="L29" s="24">
        <v>0</v>
      </c>
      <c r="M29" s="24">
        <v>0</v>
      </c>
      <c r="N29" s="24">
        <f t="shared" si="5"/>
        <v>395402.87</v>
      </c>
    </row>
    <row r="30" spans="1:14" ht="17.25" customHeight="1" x14ac:dyDescent="0.25">
      <c r="A30" s="5" t="s">
        <v>21</v>
      </c>
      <c r="B30" s="24">
        <v>0</v>
      </c>
      <c r="C30" s="24">
        <v>0</v>
      </c>
      <c r="D30" s="24">
        <v>0</v>
      </c>
      <c r="E30" s="24">
        <v>0</v>
      </c>
      <c r="F30" s="24">
        <v>0</v>
      </c>
      <c r="G30" s="24">
        <v>0</v>
      </c>
      <c r="H30" s="24">
        <v>0</v>
      </c>
      <c r="I30" s="24">
        <v>0</v>
      </c>
      <c r="J30" s="24">
        <v>0</v>
      </c>
      <c r="K30" s="24">
        <v>0</v>
      </c>
      <c r="L30" s="24">
        <v>0</v>
      </c>
      <c r="M30" s="24">
        <v>0</v>
      </c>
      <c r="N30" s="24">
        <f t="shared" si="5"/>
        <v>0</v>
      </c>
    </row>
    <row r="31" spans="1:14" ht="17.25" customHeight="1" x14ac:dyDescent="0.25">
      <c r="A31" s="5" t="s">
        <v>22</v>
      </c>
      <c r="B31" s="24">
        <v>0</v>
      </c>
      <c r="C31" s="24">
        <v>0</v>
      </c>
      <c r="D31" s="24">
        <v>0</v>
      </c>
      <c r="E31" s="24">
        <v>198633.65</v>
      </c>
      <c r="F31" s="24">
        <v>0</v>
      </c>
      <c r="G31" s="24">
        <v>0</v>
      </c>
      <c r="H31" s="24">
        <v>0</v>
      </c>
      <c r="I31" s="24">
        <v>134921.20000000001</v>
      </c>
      <c r="J31" s="24">
        <v>68149.16</v>
      </c>
      <c r="K31" s="24">
        <v>0</v>
      </c>
      <c r="L31" s="24">
        <v>0</v>
      </c>
      <c r="M31" s="24">
        <v>0</v>
      </c>
      <c r="N31" s="24">
        <f t="shared" si="5"/>
        <v>401704.01</v>
      </c>
    </row>
    <row r="32" spans="1:14" ht="17.25" customHeight="1" x14ac:dyDescent="0.25">
      <c r="A32" s="5" t="s">
        <v>23</v>
      </c>
      <c r="B32" s="24">
        <v>0</v>
      </c>
      <c r="C32" s="24">
        <v>0</v>
      </c>
      <c r="D32" s="24">
        <v>0</v>
      </c>
      <c r="E32" s="24">
        <v>0</v>
      </c>
      <c r="F32" s="24">
        <v>3457.86</v>
      </c>
      <c r="G32" s="24">
        <v>908.6</v>
      </c>
      <c r="H32" s="24">
        <v>205320</v>
      </c>
      <c r="I32" s="24">
        <v>0</v>
      </c>
      <c r="J32" s="24">
        <v>0</v>
      </c>
      <c r="K32" s="24">
        <v>0</v>
      </c>
      <c r="L32" s="24">
        <v>0</v>
      </c>
      <c r="M32" s="24">
        <v>0</v>
      </c>
      <c r="N32" s="24">
        <f t="shared" si="5"/>
        <v>209686.46</v>
      </c>
    </row>
    <row r="33" spans="1:14" ht="17.25" customHeight="1" x14ac:dyDescent="0.25">
      <c r="A33" s="5" t="s">
        <v>24</v>
      </c>
      <c r="B33" s="24">
        <v>715604</v>
      </c>
      <c r="C33" s="24">
        <v>1907604</v>
      </c>
      <c r="D33" s="24">
        <v>0</v>
      </c>
      <c r="E33" s="24">
        <v>686600</v>
      </c>
      <c r="F33" s="24">
        <v>698600</v>
      </c>
      <c r="G33" s="24">
        <f>1696600+196900+102494.8+15539.18</f>
        <v>2011533.98</v>
      </c>
      <c r="H33" s="24">
        <v>722294</v>
      </c>
      <c r="I33" s="24">
        <v>702500</v>
      </c>
      <c r="J33" s="24">
        <v>681804</v>
      </c>
      <c r="K33" s="24">
        <v>0</v>
      </c>
      <c r="L33" s="24">
        <v>1499941.6</v>
      </c>
      <c r="M33" s="24">
        <v>0</v>
      </c>
      <c r="N33" s="24">
        <f t="shared" si="5"/>
        <v>9626481.5800000001</v>
      </c>
    </row>
    <row r="34" spans="1:14" ht="17.25" customHeight="1" x14ac:dyDescent="0.25">
      <c r="A34" s="5" t="s">
        <v>25</v>
      </c>
      <c r="B34" s="24">
        <v>0</v>
      </c>
      <c r="C34" s="24">
        <v>0</v>
      </c>
      <c r="D34" s="24">
        <v>0</v>
      </c>
      <c r="E34" s="24">
        <v>0</v>
      </c>
      <c r="F34" s="24">
        <v>0</v>
      </c>
      <c r="G34" s="24">
        <v>0</v>
      </c>
      <c r="H34" s="24">
        <v>0</v>
      </c>
      <c r="I34" s="24">
        <v>0</v>
      </c>
      <c r="J34" s="24">
        <v>0</v>
      </c>
      <c r="K34" s="24">
        <v>0</v>
      </c>
      <c r="L34" s="24">
        <v>0</v>
      </c>
      <c r="M34" s="24">
        <v>0</v>
      </c>
      <c r="N34" s="24">
        <v>0</v>
      </c>
    </row>
    <row r="35" spans="1:14" ht="17.25" customHeight="1" x14ac:dyDescent="0.25">
      <c r="A35" s="5" t="s">
        <v>26</v>
      </c>
      <c r="B35" s="24">
        <v>0</v>
      </c>
      <c r="C35" s="24">
        <v>116872.2</v>
      </c>
      <c r="D35" s="24">
        <v>0</v>
      </c>
      <c r="E35" s="24">
        <v>81211.73</v>
      </c>
      <c r="F35" s="24">
        <v>253970.71</v>
      </c>
      <c r="G35" s="24">
        <f>66759.67+211591.35+98395.83+30798+3300.66</f>
        <v>410845.51</v>
      </c>
      <c r="H35" s="24">
        <v>0</v>
      </c>
      <c r="I35" s="24">
        <v>166749.51999999999</v>
      </c>
      <c r="J35" s="24">
        <v>65898.039999999994</v>
      </c>
      <c r="K35" s="24">
        <f>4153.72+1770</f>
        <v>5923.72</v>
      </c>
      <c r="L35" s="24">
        <v>490998</v>
      </c>
      <c r="M35" s="24">
        <v>0</v>
      </c>
      <c r="N35" s="24">
        <f t="shared" si="5"/>
        <v>1592469.43</v>
      </c>
    </row>
    <row r="36" spans="1:14" ht="17.25" customHeight="1" x14ac:dyDescent="0.25">
      <c r="A36" s="3" t="s">
        <v>27</v>
      </c>
      <c r="B36" s="25">
        <f t="shared" ref="B36:N36" si="6">B37+B38+B39+B40+B41+B42</f>
        <v>0</v>
      </c>
      <c r="C36" s="25">
        <f t="shared" si="6"/>
        <v>0</v>
      </c>
      <c r="D36" s="25">
        <f t="shared" si="6"/>
        <v>24000</v>
      </c>
      <c r="E36" s="25">
        <f t="shared" si="6"/>
        <v>0</v>
      </c>
      <c r="F36" s="25">
        <f t="shared" si="6"/>
        <v>0</v>
      </c>
      <c r="G36" s="25">
        <f t="shared" si="6"/>
        <v>0</v>
      </c>
      <c r="H36" s="25">
        <f t="shared" si="6"/>
        <v>0</v>
      </c>
      <c r="I36" s="25">
        <f t="shared" si="6"/>
        <v>0</v>
      </c>
      <c r="J36" s="25">
        <f t="shared" si="6"/>
        <v>0</v>
      </c>
      <c r="K36" s="25">
        <f t="shared" si="6"/>
        <v>0</v>
      </c>
      <c r="L36" s="25">
        <f t="shared" si="6"/>
        <v>0</v>
      </c>
      <c r="M36" s="25">
        <f t="shared" si="6"/>
        <v>0</v>
      </c>
      <c r="N36" s="25">
        <f t="shared" si="6"/>
        <v>24000</v>
      </c>
    </row>
    <row r="37" spans="1:14" ht="17.25" customHeight="1" x14ac:dyDescent="0.25">
      <c r="A37" s="5" t="s">
        <v>28</v>
      </c>
      <c r="B37" s="24">
        <v>0</v>
      </c>
      <c r="C37" s="24">
        <v>0</v>
      </c>
      <c r="D37" s="24">
        <v>24000</v>
      </c>
      <c r="E37" s="24">
        <v>0</v>
      </c>
      <c r="F37" s="24">
        <v>0</v>
      </c>
      <c r="G37" s="24">
        <v>0</v>
      </c>
      <c r="H37" s="24">
        <v>0</v>
      </c>
      <c r="I37" s="24">
        <v>0</v>
      </c>
      <c r="J37" s="24">
        <v>0</v>
      </c>
      <c r="K37" s="24">
        <v>0</v>
      </c>
      <c r="L37" s="24">
        <v>0</v>
      </c>
      <c r="M37" s="24">
        <v>0</v>
      </c>
      <c r="N37" s="24">
        <f t="shared" si="5"/>
        <v>24000</v>
      </c>
    </row>
    <row r="38" spans="1:14" ht="17.25" customHeight="1" x14ac:dyDescent="0.25">
      <c r="A38" s="5" t="s">
        <v>29</v>
      </c>
      <c r="B38" s="24">
        <v>0</v>
      </c>
      <c r="C38" s="24">
        <v>0</v>
      </c>
      <c r="D38" s="24">
        <v>0</v>
      </c>
      <c r="E38" s="24">
        <v>0</v>
      </c>
      <c r="F38" s="24">
        <v>0</v>
      </c>
      <c r="G38" s="24">
        <v>0</v>
      </c>
      <c r="H38" s="24">
        <v>0</v>
      </c>
      <c r="I38" s="24">
        <v>0</v>
      </c>
      <c r="J38" s="24">
        <v>0</v>
      </c>
      <c r="K38" s="24">
        <v>0</v>
      </c>
      <c r="L38" s="24">
        <v>0</v>
      </c>
      <c r="M38" s="24">
        <v>0</v>
      </c>
      <c r="N38" s="24">
        <v>0</v>
      </c>
    </row>
    <row r="39" spans="1:14" ht="17.25" customHeight="1" x14ac:dyDescent="0.25">
      <c r="A39" s="5" t="s">
        <v>30</v>
      </c>
      <c r="B39" s="24">
        <v>0</v>
      </c>
      <c r="C39" s="24">
        <v>0</v>
      </c>
      <c r="D39" s="24">
        <v>0</v>
      </c>
      <c r="E39" s="24">
        <v>0</v>
      </c>
      <c r="F39" s="24">
        <v>0</v>
      </c>
      <c r="G39" s="24">
        <v>0</v>
      </c>
      <c r="H39" s="24">
        <v>0</v>
      </c>
      <c r="I39" s="24">
        <v>0</v>
      </c>
      <c r="J39" s="24">
        <v>0</v>
      </c>
      <c r="K39" s="24">
        <v>0</v>
      </c>
      <c r="L39" s="24">
        <v>0</v>
      </c>
      <c r="M39" s="24">
        <v>0</v>
      </c>
      <c r="N39" s="24">
        <v>0</v>
      </c>
    </row>
    <row r="40" spans="1:14" ht="17.25" customHeight="1" x14ac:dyDescent="0.25">
      <c r="A40" s="5" t="s">
        <v>31</v>
      </c>
      <c r="B40" s="24">
        <v>0</v>
      </c>
      <c r="C40" s="24">
        <v>0</v>
      </c>
      <c r="D40" s="24">
        <v>0</v>
      </c>
      <c r="E40" s="24">
        <v>0</v>
      </c>
      <c r="F40" s="24">
        <v>0</v>
      </c>
      <c r="G40" s="24">
        <v>0</v>
      </c>
      <c r="H40" s="24">
        <v>0</v>
      </c>
      <c r="I40" s="24">
        <v>0</v>
      </c>
      <c r="J40" s="24">
        <v>0</v>
      </c>
      <c r="K40" s="24">
        <v>0</v>
      </c>
      <c r="L40" s="24">
        <v>0</v>
      </c>
      <c r="M40" s="24">
        <v>0</v>
      </c>
      <c r="N40" s="24">
        <v>0</v>
      </c>
    </row>
    <row r="41" spans="1:14" ht="17.25" customHeight="1" x14ac:dyDescent="0.25">
      <c r="A41" s="5" t="s">
        <v>32</v>
      </c>
      <c r="B41" s="24">
        <v>0</v>
      </c>
      <c r="C41" s="24">
        <v>0</v>
      </c>
      <c r="D41" s="24">
        <v>0</v>
      </c>
      <c r="E41" s="24">
        <v>0</v>
      </c>
      <c r="F41" s="24">
        <v>0</v>
      </c>
      <c r="G41" s="24">
        <v>0</v>
      </c>
      <c r="H41" s="24">
        <v>0</v>
      </c>
      <c r="I41" s="24">
        <v>0</v>
      </c>
      <c r="J41" s="24">
        <v>0</v>
      </c>
      <c r="K41" s="24">
        <v>0</v>
      </c>
      <c r="L41" s="24">
        <v>0</v>
      </c>
      <c r="M41" s="24">
        <v>0</v>
      </c>
      <c r="N41" s="24">
        <v>0</v>
      </c>
    </row>
    <row r="42" spans="1:14" ht="17.25" customHeight="1" x14ac:dyDescent="0.25">
      <c r="A42" s="5" t="s">
        <v>33</v>
      </c>
      <c r="B42" s="24">
        <v>0</v>
      </c>
      <c r="C42" s="24">
        <v>0</v>
      </c>
      <c r="D42" s="24">
        <v>0</v>
      </c>
      <c r="E42" s="24">
        <v>0</v>
      </c>
      <c r="F42" s="24">
        <v>0</v>
      </c>
      <c r="G42" s="24">
        <v>0</v>
      </c>
      <c r="H42" s="24">
        <v>0</v>
      </c>
      <c r="I42" s="24">
        <v>0</v>
      </c>
      <c r="J42" s="24">
        <v>0</v>
      </c>
      <c r="K42" s="24">
        <v>0</v>
      </c>
      <c r="L42" s="24">
        <v>0</v>
      </c>
      <c r="M42" s="24">
        <v>0</v>
      </c>
      <c r="N42" s="24">
        <v>0</v>
      </c>
    </row>
    <row r="43" spans="1:14" ht="17.25" customHeight="1" x14ac:dyDescent="0.25">
      <c r="A43" s="5" t="s">
        <v>34</v>
      </c>
      <c r="B43" s="24">
        <v>0</v>
      </c>
      <c r="C43" s="24">
        <v>0</v>
      </c>
      <c r="D43" s="24">
        <v>0</v>
      </c>
      <c r="E43" s="24">
        <v>0</v>
      </c>
      <c r="F43" s="24">
        <v>0</v>
      </c>
      <c r="G43" s="24">
        <v>0</v>
      </c>
      <c r="H43" s="24">
        <v>0</v>
      </c>
      <c r="I43" s="24">
        <v>0</v>
      </c>
      <c r="J43" s="24">
        <v>0</v>
      </c>
      <c r="K43" s="24">
        <v>0</v>
      </c>
      <c r="L43" s="24">
        <v>0</v>
      </c>
      <c r="M43" s="24">
        <v>0</v>
      </c>
      <c r="N43" s="24">
        <v>0</v>
      </c>
    </row>
    <row r="44" spans="1:14" ht="17.25" customHeight="1" x14ac:dyDescent="0.25">
      <c r="A44" s="5" t="s">
        <v>35</v>
      </c>
      <c r="B44" s="24">
        <v>0</v>
      </c>
      <c r="C44" s="24">
        <v>0</v>
      </c>
      <c r="D44" s="24">
        <v>0</v>
      </c>
      <c r="E44" s="24">
        <v>0</v>
      </c>
      <c r="F44" s="24">
        <v>0</v>
      </c>
      <c r="G44" s="24">
        <v>0</v>
      </c>
      <c r="H44" s="24">
        <v>0</v>
      </c>
      <c r="I44" s="24">
        <v>0</v>
      </c>
      <c r="J44" s="24">
        <v>0</v>
      </c>
      <c r="K44" s="24">
        <v>0</v>
      </c>
      <c r="L44" s="24">
        <v>0</v>
      </c>
      <c r="M44" s="24">
        <v>0</v>
      </c>
      <c r="N44" s="24">
        <v>0</v>
      </c>
    </row>
    <row r="45" spans="1:14" ht="17.25" customHeight="1" x14ac:dyDescent="0.25">
      <c r="A45" s="3" t="s">
        <v>36</v>
      </c>
      <c r="B45" s="25">
        <f t="shared" ref="B45:N45" si="7">B46</f>
        <v>0</v>
      </c>
      <c r="C45" s="25">
        <f t="shared" si="7"/>
        <v>0</v>
      </c>
      <c r="D45" s="25">
        <f t="shared" si="7"/>
        <v>0</v>
      </c>
      <c r="E45" s="25">
        <f t="shared" si="7"/>
        <v>0</v>
      </c>
      <c r="F45" s="25">
        <f t="shared" si="7"/>
        <v>0</v>
      </c>
      <c r="G45" s="25">
        <f t="shared" si="7"/>
        <v>0</v>
      </c>
      <c r="H45" s="25">
        <f t="shared" si="7"/>
        <v>0</v>
      </c>
      <c r="I45" s="25">
        <f t="shared" si="7"/>
        <v>0</v>
      </c>
      <c r="J45" s="25">
        <f t="shared" si="7"/>
        <v>0</v>
      </c>
      <c r="K45" s="25">
        <f t="shared" si="7"/>
        <v>0</v>
      </c>
      <c r="L45" s="25">
        <f t="shared" si="7"/>
        <v>0</v>
      </c>
      <c r="M45" s="25">
        <f t="shared" si="7"/>
        <v>0</v>
      </c>
      <c r="N45" s="25">
        <f t="shared" si="7"/>
        <v>0</v>
      </c>
    </row>
    <row r="46" spans="1:14" ht="17.25" customHeight="1" x14ac:dyDescent="0.25">
      <c r="A46" s="5" t="s">
        <v>37</v>
      </c>
      <c r="B46" s="24">
        <v>0</v>
      </c>
      <c r="C46" s="24">
        <v>0</v>
      </c>
      <c r="D46" s="24">
        <v>0</v>
      </c>
      <c r="E46" s="24">
        <v>0</v>
      </c>
      <c r="F46" s="24">
        <v>0</v>
      </c>
      <c r="G46" s="24">
        <v>0</v>
      </c>
      <c r="H46" s="24">
        <v>0</v>
      </c>
      <c r="I46" s="24">
        <v>0</v>
      </c>
      <c r="J46" s="24">
        <v>0</v>
      </c>
      <c r="K46" s="24">
        <v>0</v>
      </c>
      <c r="L46" s="24">
        <v>0</v>
      </c>
      <c r="M46" s="24">
        <v>0</v>
      </c>
      <c r="N46" s="24">
        <v>0</v>
      </c>
    </row>
    <row r="47" spans="1:14" ht="17.25" customHeight="1" x14ac:dyDescent="0.25">
      <c r="A47" s="5" t="s">
        <v>38</v>
      </c>
      <c r="B47" s="24">
        <v>0</v>
      </c>
      <c r="C47" s="24">
        <v>0</v>
      </c>
      <c r="D47" s="24">
        <v>0</v>
      </c>
      <c r="E47" s="24">
        <v>0</v>
      </c>
      <c r="F47" s="24">
        <v>0</v>
      </c>
      <c r="G47" s="24">
        <v>0</v>
      </c>
      <c r="H47" s="24">
        <v>0</v>
      </c>
      <c r="I47" s="24">
        <v>0</v>
      </c>
      <c r="J47" s="24">
        <v>0</v>
      </c>
      <c r="K47" s="24">
        <v>0</v>
      </c>
      <c r="L47" s="24">
        <v>0</v>
      </c>
      <c r="M47" s="24">
        <v>0</v>
      </c>
      <c r="N47" s="24">
        <v>0</v>
      </c>
    </row>
    <row r="48" spans="1:14" ht="17.25" customHeight="1" x14ac:dyDescent="0.25">
      <c r="A48" s="5" t="s">
        <v>39</v>
      </c>
      <c r="B48" s="24">
        <v>0</v>
      </c>
      <c r="C48" s="24">
        <v>0</v>
      </c>
      <c r="D48" s="24">
        <v>0</v>
      </c>
      <c r="E48" s="24">
        <v>0</v>
      </c>
      <c r="F48" s="24">
        <v>0</v>
      </c>
      <c r="G48" s="24">
        <v>0</v>
      </c>
      <c r="H48" s="24">
        <v>0</v>
      </c>
      <c r="I48" s="24">
        <v>0</v>
      </c>
      <c r="J48" s="24">
        <v>0</v>
      </c>
      <c r="K48" s="24">
        <v>0</v>
      </c>
      <c r="L48" s="24">
        <v>0</v>
      </c>
      <c r="M48" s="24">
        <v>0</v>
      </c>
      <c r="N48" s="24">
        <v>0</v>
      </c>
    </row>
    <row r="49" spans="1:14" ht="17.25" customHeight="1" x14ac:dyDescent="0.25">
      <c r="A49" s="5" t="s">
        <v>40</v>
      </c>
      <c r="B49" s="24">
        <v>0</v>
      </c>
      <c r="C49" s="24">
        <v>0</v>
      </c>
      <c r="D49" s="24">
        <v>0</v>
      </c>
      <c r="E49" s="24">
        <v>0</v>
      </c>
      <c r="F49" s="24">
        <v>0</v>
      </c>
      <c r="G49" s="24">
        <v>0</v>
      </c>
      <c r="H49" s="24">
        <v>0</v>
      </c>
      <c r="I49" s="24">
        <v>0</v>
      </c>
      <c r="J49" s="24">
        <v>0</v>
      </c>
      <c r="K49" s="24">
        <v>0</v>
      </c>
      <c r="L49" s="24">
        <v>0</v>
      </c>
      <c r="M49" s="24">
        <v>0</v>
      </c>
      <c r="N49" s="24">
        <v>0</v>
      </c>
    </row>
    <row r="50" spans="1:14" ht="17.25" customHeight="1" x14ac:dyDescent="0.25">
      <c r="A50" s="5" t="s">
        <v>41</v>
      </c>
      <c r="B50" s="24">
        <v>0</v>
      </c>
      <c r="C50" s="24">
        <v>0</v>
      </c>
      <c r="D50" s="24">
        <v>0</v>
      </c>
      <c r="E50" s="24">
        <v>0</v>
      </c>
      <c r="F50" s="24">
        <v>0</v>
      </c>
      <c r="G50" s="24">
        <v>0</v>
      </c>
      <c r="H50" s="24">
        <v>0</v>
      </c>
      <c r="I50" s="24">
        <v>0</v>
      </c>
      <c r="J50" s="24">
        <v>0</v>
      </c>
      <c r="K50" s="24">
        <v>0</v>
      </c>
      <c r="L50" s="24">
        <v>0</v>
      </c>
      <c r="M50" s="24">
        <v>0</v>
      </c>
      <c r="N50" s="24">
        <v>0</v>
      </c>
    </row>
    <row r="51" spans="1:14" ht="17.25" customHeight="1" x14ac:dyDescent="0.25">
      <c r="A51" s="5" t="s">
        <v>42</v>
      </c>
      <c r="B51" s="24">
        <v>0</v>
      </c>
      <c r="C51" s="24">
        <v>0</v>
      </c>
      <c r="D51" s="24">
        <v>0</v>
      </c>
      <c r="E51" s="24">
        <v>0</v>
      </c>
      <c r="F51" s="24">
        <v>0</v>
      </c>
      <c r="G51" s="24">
        <v>0</v>
      </c>
      <c r="H51" s="24">
        <v>0</v>
      </c>
      <c r="I51" s="24">
        <v>0</v>
      </c>
      <c r="J51" s="24">
        <v>0</v>
      </c>
      <c r="K51" s="24">
        <v>0</v>
      </c>
      <c r="L51" s="24">
        <v>0</v>
      </c>
      <c r="M51" s="24">
        <v>0</v>
      </c>
      <c r="N51" s="24">
        <v>0</v>
      </c>
    </row>
    <row r="52" spans="1:14" ht="17.25" customHeight="1" x14ac:dyDescent="0.25">
      <c r="A52" s="3" t="s">
        <v>43</v>
      </c>
      <c r="B52" s="25">
        <f>B53</f>
        <v>0</v>
      </c>
      <c r="C52" s="25">
        <f>C53</f>
        <v>0</v>
      </c>
      <c r="D52" s="25">
        <f>D53</f>
        <v>0</v>
      </c>
      <c r="E52" s="25">
        <f>E53+E57</f>
        <v>0</v>
      </c>
      <c r="F52" s="25">
        <f>F54+F53</f>
        <v>94532.61</v>
      </c>
      <c r="G52" s="25">
        <f>G54+G53+G56+G57</f>
        <v>40374.540000000008</v>
      </c>
      <c r="H52" s="25">
        <f>H53+H57</f>
        <v>0</v>
      </c>
      <c r="I52" s="25">
        <f>I53</f>
        <v>125731.61</v>
      </c>
      <c r="J52" s="25">
        <f>J53+J54</f>
        <v>110936.52</v>
      </c>
      <c r="K52" s="25">
        <f>K53</f>
        <v>95748.01</v>
      </c>
      <c r="L52" s="25">
        <f>L55+L60</f>
        <v>66884</v>
      </c>
      <c r="M52" s="25">
        <f>M53+M54+M57</f>
        <v>0</v>
      </c>
      <c r="N52" s="25">
        <f t="shared" ref="N52:N57" si="8">SUM(B52:M52)</f>
        <v>534207.29</v>
      </c>
    </row>
    <row r="53" spans="1:14" ht="17.25" customHeight="1" x14ac:dyDescent="0.25">
      <c r="A53" s="5" t="s">
        <v>44</v>
      </c>
      <c r="B53" s="24">
        <v>0</v>
      </c>
      <c r="C53" s="24">
        <v>0</v>
      </c>
      <c r="D53" s="24">
        <v>0</v>
      </c>
      <c r="E53" s="24">
        <v>0</v>
      </c>
      <c r="F53" s="24">
        <v>85632.61</v>
      </c>
      <c r="G53" s="24">
        <v>8685</v>
      </c>
      <c r="H53" s="24">
        <v>0</v>
      </c>
      <c r="I53" s="24">
        <v>125731.61</v>
      </c>
      <c r="J53" s="24">
        <v>0</v>
      </c>
      <c r="K53" s="24">
        <v>95748.01</v>
      </c>
      <c r="L53" s="24">
        <v>0</v>
      </c>
      <c r="M53" s="24">
        <v>0</v>
      </c>
      <c r="N53" s="24">
        <f t="shared" si="8"/>
        <v>315797.23</v>
      </c>
    </row>
    <row r="54" spans="1:14" ht="17.25" customHeight="1" x14ac:dyDescent="0.25">
      <c r="A54" s="5" t="s">
        <v>45</v>
      </c>
      <c r="B54" s="24">
        <v>0</v>
      </c>
      <c r="C54" s="24">
        <v>0</v>
      </c>
      <c r="D54" s="24">
        <v>0</v>
      </c>
      <c r="E54" s="24">
        <v>0</v>
      </c>
      <c r="F54" s="24">
        <v>8900</v>
      </c>
      <c r="G54" s="24">
        <v>0</v>
      </c>
      <c r="H54" s="24">
        <v>0</v>
      </c>
      <c r="I54" s="24">
        <v>0</v>
      </c>
      <c r="J54" s="24">
        <v>110936.52</v>
      </c>
      <c r="K54" s="24">
        <v>0</v>
      </c>
      <c r="L54" s="24">
        <v>0</v>
      </c>
      <c r="M54" s="24">
        <v>0</v>
      </c>
      <c r="N54" s="24">
        <f t="shared" si="8"/>
        <v>119836.52</v>
      </c>
    </row>
    <row r="55" spans="1:14" ht="17.25" customHeight="1" x14ac:dyDescent="0.25">
      <c r="A55" s="5" t="s">
        <v>46</v>
      </c>
      <c r="B55" s="24">
        <v>0</v>
      </c>
      <c r="C55" s="24">
        <v>0</v>
      </c>
      <c r="D55" s="24">
        <v>0</v>
      </c>
      <c r="E55" s="24">
        <v>0</v>
      </c>
      <c r="F55" s="24">
        <v>0</v>
      </c>
      <c r="G55" s="24">
        <v>0</v>
      </c>
      <c r="H55" s="24">
        <v>0</v>
      </c>
      <c r="I55" s="24">
        <v>0</v>
      </c>
      <c r="J55" s="24">
        <v>0</v>
      </c>
      <c r="K55" s="24">
        <v>0</v>
      </c>
      <c r="L55" s="24">
        <v>32900</v>
      </c>
      <c r="M55" s="24">
        <v>0</v>
      </c>
      <c r="N55" s="24">
        <f t="shared" si="8"/>
        <v>32900</v>
      </c>
    </row>
    <row r="56" spans="1:14" ht="17.25" customHeight="1" x14ac:dyDescent="0.25">
      <c r="A56" s="5" t="s">
        <v>47</v>
      </c>
      <c r="B56" s="24">
        <v>0</v>
      </c>
      <c r="C56" s="24">
        <v>0</v>
      </c>
      <c r="D56" s="24">
        <v>0</v>
      </c>
      <c r="E56" s="24">
        <v>0</v>
      </c>
      <c r="F56" s="24">
        <v>0</v>
      </c>
      <c r="G56" s="24">
        <v>26397.24</v>
      </c>
      <c r="H56" s="24">
        <v>0</v>
      </c>
      <c r="I56" s="24">
        <v>0</v>
      </c>
      <c r="J56" s="24">
        <v>0</v>
      </c>
      <c r="K56" s="24">
        <v>0</v>
      </c>
      <c r="L56" s="24">
        <v>0</v>
      </c>
      <c r="M56" s="24">
        <v>0</v>
      </c>
      <c r="N56" s="24">
        <f t="shared" si="8"/>
        <v>26397.24</v>
      </c>
    </row>
    <row r="57" spans="1:14" ht="17.25" customHeight="1" x14ac:dyDescent="0.25">
      <c r="A57" s="5" t="s">
        <v>48</v>
      </c>
      <c r="B57" s="24">
        <v>0</v>
      </c>
      <c r="C57" s="24">
        <v>0</v>
      </c>
      <c r="D57" s="24">
        <v>0</v>
      </c>
      <c r="E57" s="24">
        <v>0</v>
      </c>
      <c r="F57" s="24">
        <v>0</v>
      </c>
      <c r="G57" s="24">
        <v>5292.3</v>
      </c>
      <c r="H57" s="24">
        <v>0</v>
      </c>
      <c r="I57" s="24">
        <v>0</v>
      </c>
      <c r="J57" s="24">
        <v>0</v>
      </c>
      <c r="K57" s="24">
        <v>0</v>
      </c>
      <c r="L57" s="24">
        <v>0</v>
      </c>
      <c r="M57" s="24">
        <v>0</v>
      </c>
      <c r="N57" s="24">
        <f t="shared" si="8"/>
        <v>5292.3</v>
      </c>
    </row>
    <row r="58" spans="1:14" ht="17.25" customHeight="1" x14ac:dyDescent="0.25">
      <c r="A58" s="5" t="s">
        <v>49</v>
      </c>
      <c r="B58" s="24">
        <v>0</v>
      </c>
      <c r="C58" s="24">
        <v>0</v>
      </c>
      <c r="D58" s="24">
        <v>0</v>
      </c>
      <c r="E58" s="24">
        <v>0</v>
      </c>
      <c r="F58" s="24">
        <v>0</v>
      </c>
      <c r="G58" s="24">
        <v>0</v>
      </c>
      <c r="H58" s="24">
        <v>0</v>
      </c>
      <c r="I58" s="24">
        <v>0</v>
      </c>
      <c r="J58" s="24">
        <v>0</v>
      </c>
      <c r="K58" s="24">
        <v>0</v>
      </c>
      <c r="L58" s="24">
        <v>0</v>
      </c>
      <c r="M58" s="24">
        <v>0</v>
      </c>
      <c r="N58" s="24">
        <f t="shared" ref="N58:N61" si="9">SUM(B58:M58)</f>
        <v>0</v>
      </c>
    </row>
    <row r="59" spans="1:14" ht="17.25" customHeight="1" x14ac:dyDescent="0.25">
      <c r="A59" s="5" t="s">
        <v>50</v>
      </c>
      <c r="B59" s="24">
        <v>0</v>
      </c>
      <c r="C59" s="24">
        <v>0</v>
      </c>
      <c r="D59" s="24">
        <v>0</v>
      </c>
      <c r="E59" s="24">
        <v>0</v>
      </c>
      <c r="F59" s="24">
        <v>0</v>
      </c>
      <c r="G59" s="24">
        <v>0</v>
      </c>
      <c r="H59" s="24">
        <v>0</v>
      </c>
      <c r="I59" s="24">
        <v>0</v>
      </c>
      <c r="J59" s="24">
        <v>0</v>
      </c>
      <c r="K59" s="24">
        <v>0</v>
      </c>
      <c r="L59" s="24">
        <v>0</v>
      </c>
      <c r="M59" s="24">
        <v>0</v>
      </c>
      <c r="N59" s="24">
        <f t="shared" si="9"/>
        <v>0</v>
      </c>
    </row>
    <row r="60" spans="1:14" ht="17.25" customHeight="1" x14ac:dyDescent="0.25">
      <c r="A60" s="5" t="s">
        <v>51</v>
      </c>
      <c r="B60" s="24">
        <v>0</v>
      </c>
      <c r="C60" s="24">
        <v>0</v>
      </c>
      <c r="D60" s="24">
        <v>0</v>
      </c>
      <c r="E60" s="24">
        <v>0</v>
      </c>
      <c r="F60" s="24">
        <v>0</v>
      </c>
      <c r="G60" s="24">
        <v>0</v>
      </c>
      <c r="H60" s="24">
        <v>0</v>
      </c>
      <c r="I60" s="24">
        <v>0</v>
      </c>
      <c r="J60" s="24">
        <v>0</v>
      </c>
      <c r="K60" s="24">
        <v>0</v>
      </c>
      <c r="L60" s="24">
        <v>33984</v>
      </c>
      <c r="M60" s="24">
        <v>0</v>
      </c>
      <c r="N60" s="24">
        <f t="shared" si="9"/>
        <v>33984</v>
      </c>
    </row>
    <row r="61" spans="1:14" ht="17.25" customHeight="1" x14ac:dyDescent="0.25">
      <c r="A61" s="5" t="s">
        <v>52</v>
      </c>
      <c r="B61" s="24">
        <v>0</v>
      </c>
      <c r="C61" s="24">
        <v>0</v>
      </c>
      <c r="D61" s="24">
        <v>0</v>
      </c>
      <c r="E61" s="24">
        <v>0</v>
      </c>
      <c r="F61" s="24">
        <v>0</v>
      </c>
      <c r="G61" s="24">
        <v>0</v>
      </c>
      <c r="H61" s="24">
        <v>0</v>
      </c>
      <c r="I61" s="24">
        <v>0</v>
      </c>
      <c r="J61" s="24">
        <v>0</v>
      </c>
      <c r="K61" s="24">
        <v>0</v>
      </c>
      <c r="L61" s="24">
        <v>0</v>
      </c>
      <c r="M61" s="24">
        <v>0</v>
      </c>
      <c r="N61" s="24">
        <f t="shared" si="9"/>
        <v>0</v>
      </c>
    </row>
    <row r="62" spans="1:14" ht="17.25" customHeight="1" x14ac:dyDescent="0.25">
      <c r="A62" s="3" t="s">
        <v>53</v>
      </c>
      <c r="B62" s="25">
        <f t="shared" ref="B62:N62" si="10">B63</f>
        <v>0</v>
      </c>
      <c r="C62" s="25">
        <f t="shared" si="10"/>
        <v>0</v>
      </c>
      <c r="D62" s="25">
        <f t="shared" si="10"/>
        <v>0</v>
      </c>
      <c r="E62" s="25">
        <f t="shared" si="10"/>
        <v>0</v>
      </c>
      <c r="F62" s="25">
        <f t="shared" si="10"/>
        <v>0</v>
      </c>
      <c r="G62" s="25">
        <f t="shared" si="10"/>
        <v>0</v>
      </c>
      <c r="H62" s="25">
        <f t="shared" si="10"/>
        <v>0</v>
      </c>
      <c r="I62" s="25">
        <f t="shared" si="10"/>
        <v>0</v>
      </c>
      <c r="J62" s="25">
        <f t="shared" si="10"/>
        <v>0</v>
      </c>
      <c r="K62" s="25">
        <f t="shared" si="10"/>
        <v>0</v>
      </c>
      <c r="L62" s="25">
        <f t="shared" si="10"/>
        <v>0</v>
      </c>
      <c r="M62" s="25">
        <f t="shared" si="10"/>
        <v>0</v>
      </c>
      <c r="N62" s="25">
        <f t="shared" si="10"/>
        <v>0</v>
      </c>
    </row>
    <row r="63" spans="1:14" ht="17.25" customHeight="1" x14ac:dyDescent="0.25">
      <c r="A63" s="5" t="s">
        <v>54</v>
      </c>
      <c r="B63" s="24">
        <v>0</v>
      </c>
      <c r="C63" s="24">
        <v>0</v>
      </c>
      <c r="D63" s="24">
        <v>0</v>
      </c>
      <c r="E63" s="24">
        <v>0</v>
      </c>
      <c r="F63" s="24">
        <v>0</v>
      </c>
      <c r="G63" s="24">
        <v>0</v>
      </c>
      <c r="H63" s="24">
        <v>0</v>
      </c>
      <c r="I63" s="24">
        <v>0</v>
      </c>
      <c r="J63" s="24">
        <v>0</v>
      </c>
      <c r="K63" s="24">
        <v>0</v>
      </c>
      <c r="L63" s="24">
        <v>0</v>
      </c>
      <c r="M63" s="24">
        <v>0</v>
      </c>
      <c r="N63" s="24">
        <v>0</v>
      </c>
    </row>
    <row r="64" spans="1:14" ht="17.25" customHeight="1" x14ac:dyDescent="0.25">
      <c r="A64" s="5" t="s">
        <v>55</v>
      </c>
      <c r="B64" s="24">
        <v>0</v>
      </c>
      <c r="C64" s="24">
        <v>0</v>
      </c>
      <c r="D64" s="24">
        <v>0</v>
      </c>
      <c r="E64" s="24">
        <v>0</v>
      </c>
      <c r="F64" s="24">
        <v>0</v>
      </c>
      <c r="G64" s="24">
        <v>0</v>
      </c>
      <c r="H64" s="24">
        <v>0</v>
      </c>
      <c r="I64" s="24">
        <v>0</v>
      </c>
      <c r="J64" s="24">
        <v>0</v>
      </c>
      <c r="K64" s="24">
        <v>0</v>
      </c>
      <c r="L64" s="24">
        <v>0</v>
      </c>
      <c r="M64" s="24">
        <v>0</v>
      </c>
      <c r="N64" s="24">
        <v>0</v>
      </c>
    </row>
    <row r="65" spans="1:14" ht="17.25" customHeight="1" x14ac:dyDescent="0.25">
      <c r="A65" s="5" t="s">
        <v>56</v>
      </c>
      <c r="B65" s="24">
        <v>0</v>
      </c>
      <c r="C65" s="24">
        <v>0</v>
      </c>
      <c r="D65" s="24">
        <v>0</v>
      </c>
      <c r="E65" s="24">
        <v>0</v>
      </c>
      <c r="F65" s="24">
        <v>0</v>
      </c>
      <c r="G65" s="24">
        <v>0</v>
      </c>
      <c r="H65" s="24">
        <v>0</v>
      </c>
      <c r="I65" s="24">
        <v>0</v>
      </c>
      <c r="J65" s="24">
        <v>0</v>
      </c>
      <c r="K65" s="24">
        <v>0</v>
      </c>
      <c r="L65" s="24">
        <v>0</v>
      </c>
      <c r="M65" s="24">
        <v>0</v>
      </c>
      <c r="N65" s="24">
        <v>0</v>
      </c>
    </row>
    <row r="66" spans="1:14" ht="17.25" customHeight="1" x14ac:dyDescent="0.25">
      <c r="A66" s="5" t="s">
        <v>57</v>
      </c>
      <c r="B66" s="24">
        <v>0</v>
      </c>
      <c r="C66" s="24">
        <v>0</v>
      </c>
      <c r="D66" s="24">
        <v>0</v>
      </c>
      <c r="E66" s="24">
        <v>0</v>
      </c>
      <c r="F66" s="24">
        <v>0</v>
      </c>
      <c r="G66" s="24">
        <v>0</v>
      </c>
      <c r="H66" s="24">
        <v>0</v>
      </c>
      <c r="I66" s="24">
        <v>0</v>
      </c>
      <c r="J66" s="24">
        <v>0</v>
      </c>
      <c r="K66" s="24">
        <v>0</v>
      </c>
      <c r="L66" s="24">
        <v>0</v>
      </c>
      <c r="M66" s="24">
        <v>0</v>
      </c>
      <c r="N66" s="24">
        <v>0</v>
      </c>
    </row>
    <row r="67" spans="1:14" ht="17.25" customHeight="1" x14ac:dyDescent="0.25">
      <c r="A67" s="3" t="s">
        <v>58</v>
      </c>
      <c r="B67" s="25">
        <v>0</v>
      </c>
      <c r="C67" s="25">
        <v>0</v>
      </c>
      <c r="D67" s="25">
        <v>0</v>
      </c>
      <c r="E67" s="25">
        <v>0</v>
      </c>
      <c r="F67" s="25">
        <v>0</v>
      </c>
      <c r="G67" s="25">
        <v>0</v>
      </c>
      <c r="H67" s="25">
        <v>0</v>
      </c>
      <c r="I67" s="25">
        <v>0</v>
      </c>
      <c r="J67" s="25">
        <v>0</v>
      </c>
      <c r="K67" s="25">
        <v>0</v>
      </c>
      <c r="L67" s="25">
        <v>0</v>
      </c>
      <c r="M67" s="25">
        <v>0</v>
      </c>
      <c r="N67" s="25">
        <v>0</v>
      </c>
    </row>
    <row r="68" spans="1:14" ht="17.25" customHeight="1" x14ac:dyDescent="0.25">
      <c r="A68" s="5" t="s">
        <v>59</v>
      </c>
      <c r="B68" s="24">
        <v>0</v>
      </c>
      <c r="C68" s="24">
        <v>0</v>
      </c>
      <c r="D68" s="24">
        <v>0</v>
      </c>
      <c r="E68" s="24">
        <v>0</v>
      </c>
      <c r="F68" s="24">
        <v>0</v>
      </c>
      <c r="G68" s="24">
        <v>0</v>
      </c>
      <c r="H68" s="24">
        <v>0</v>
      </c>
      <c r="I68" s="24">
        <v>0</v>
      </c>
      <c r="J68" s="24">
        <v>0</v>
      </c>
      <c r="K68" s="24">
        <v>0</v>
      </c>
      <c r="L68" s="24">
        <v>0</v>
      </c>
      <c r="M68" s="24">
        <v>0</v>
      </c>
      <c r="N68" s="24">
        <v>0</v>
      </c>
    </row>
    <row r="69" spans="1:14" ht="17.25" customHeight="1" x14ac:dyDescent="0.25">
      <c r="A69" s="5" t="s">
        <v>60</v>
      </c>
      <c r="B69" s="24">
        <v>0</v>
      </c>
      <c r="C69" s="24">
        <v>0</v>
      </c>
      <c r="D69" s="24">
        <v>0</v>
      </c>
      <c r="E69" s="24">
        <v>0</v>
      </c>
      <c r="F69" s="24">
        <v>0</v>
      </c>
      <c r="G69" s="24">
        <v>0</v>
      </c>
      <c r="H69" s="24">
        <v>0</v>
      </c>
      <c r="I69" s="24">
        <v>0</v>
      </c>
      <c r="J69" s="24">
        <v>0</v>
      </c>
      <c r="K69" s="24">
        <v>0</v>
      </c>
      <c r="L69" s="24">
        <v>0</v>
      </c>
      <c r="M69" s="24">
        <v>0</v>
      </c>
      <c r="N69" s="24">
        <v>0</v>
      </c>
    </row>
    <row r="70" spans="1:14" ht="17.25" customHeight="1" x14ac:dyDescent="0.25">
      <c r="A70" s="3" t="s">
        <v>61</v>
      </c>
      <c r="B70" s="25">
        <v>0</v>
      </c>
      <c r="C70" s="25">
        <v>0</v>
      </c>
      <c r="D70" s="25">
        <v>0</v>
      </c>
      <c r="E70" s="25">
        <v>0</v>
      </c>
      <c r="F70" s="25">
        <v>0</v>
      </c>
      <c r="G70" s="25">
        <v>0</v>
      </c>
      <c r="H70" s="25">
        <v>0</v>
      </c>
      <c r="I70" s="25">
        <v>0</v>
      </c>
      <c r="J70" s="25">
        <v>0</v>
      </c>
      <c r="K70" s="25">
        <v>0</v>
      </c>
      <c r="L70" s="25">
        <v>0</v>
      </c>
      <c r="M70" s="25">
        <v>0</v>
      </c>
      <c r="N70" s="25">
        <v>0</v>
      </c>
    </row>
    <row r="71" spans="1:14" ht="17.25" customHeight="1" x14ac:dyDescent="0.25">
      <c r="A71" s="5" t="s">
        <v>62</v>
      </c>
      <c r="B71" s="24">
        <v>0</v>
      </c>
      <c r="C71" s="24">
        <v>0</v>
      </c>
      <c r="D71" s="24">
        <v>0</v>
      </c>
      <c r="E71" s="24">
        <v>0</v>
      </c>
      <c r="F71" s="24">
        <v>0</v>
      </c>
      <c r="G71" s="24">
        <v>0</v>
      </c>
      <c r="H71" s="24">
        <v>0</v>
      </c>
      <c r="I71" s="24">
        <v>0</v>
      </c>
      <c r="J71" s="24">
        <v>0</v>
      </c>
      <c r="K71" s="24">
        <v>0</v>
      </c>
      <c r="L71" s="24">
        <v>0</v>
      </c>
      <c r="M71" s="24">
        <v>0</v>
      </c>
      <c r="N71" s="24">
        <v>0</v>
      </c>
    </row>
    <row r="72" spans="1:14" ht="17.25" customHeight="1" x14ac:dyDescent="0.25">
      <c r="A72" s="5" t="s">
        <v>63</v>
      </c>
      <c r="B72" s="24">
        <v>0</v>
      </c>
      <c r="C72" s="24">
        <v>0</v>
      </c>
      <c r="D72" s="24">
        <v>0</v>
      </c>
      <c r="E72" s="24">
        <v>0</v>
      </c>
      <c r="F72" s="24">
        <v>0</v>
      </c>
      <c r="G72" s="24">
        <v>0</v>
      </c>
      <c r="H72" s="24">
        <v>0</v>
      </c>
      <c r="I72" s="24">
        <v>0</v>
      </c>
      <c r="J72" s="24">
        <v>0</v>
      </c>
      <c r="K72" s="24">
        <v>0</v>
      </c>
      <c r="L72" s="24">
        <v>0</v>
      </c>
      <c r="M72" s="24">
        <v>0</v>
      </c>
      <c r="N72" s="24">
        <v>0</v>
      </c>
    </row>
    <row r="73" spans="1:14" ht="17.25" customHeight="1" x14ac:dyDescent="0.25">
      <c r="A73" s="5" t="s">
        <v>64</v>
      </c>
      <c r="B73" s="24">
        <v>0</v>
      </c>
      <c r="C73" s="24">
        <v>0</v>
      </c>
      <c r="D73" s="24">
        <v>0</v>
      </c>
      <c r="E73" s="24">
        <v>0</v>
      </c>
      <c r="F73" s="24">
        <v>0</v>
      </c>
      <c r="G73" s="24">
        <v>0</v>
      </c>
      <c r="H73" s="24">
        <v>0</v>
      </c>
      <c r="I73" s="24">
        <v>0</v>
      </c>
      <c r="J73" s="24">
        <v>0</v>
      </c>
      <c r="K73" s="24">
        <v>0</v>
      </c>
      <c r="L73" s="24">
        <v>0</v>
      </c>
      <c r="M73" s="24">
        <v>0</v>
      </c>
      <c r="N73" s="24">
        <v>0</v>
      </c>
    </row>
    <row r="74" spans="1:14" ht="17.25" customHeight="1" x14ac:dyDescent="0.25">
      <c r="A74" s="1" t="s">
        <v>67</v>
      </c>
      <c r="B74" s="25">
        <v>0</v>
      </c>
      <c r="C74" s="25">
        <v>0</v>
      </c>
      <c r="D74" s="25">
        <v>0</v>
      </c>
      <c r="E74" s="25">
        <v>0</v>
      </c>
      <c r="F74" s="25">
        <v>0</v>
      </c>
      <c r="G74" s="25">
        <v>0</v>
      </c>
      <c r="H74" s="25">
        <v>0</v>
      </c>
      <c r="I74" s="25">
        <v>0</v>
      </c>
      <c r="J74" s="25">
        <v>0</v>
      </c>
      <c r="K74" s="25">
        <v>0</v>
      </c>
      <c r="L74" s="25">
        <v>0</v>
      </c>
      <c r="M74" s="25">
        <v>0</v>
      </c>
      <c r="N74" s="25">
        <v>0</v>
      </c>
    </row>
    <row r="75" spans="1:14" ht="17.25" customHeight="1" x14ac:dyDescent="0.25">
      <c r="A75" s="3" t="s">
        <v>68</v>
      </c>
      <c r="B75" s="25">
        <v>0</v>
      </c>
      <c r="C75" s="25">
        <v>0</v>
      </c>
      <c r="D75" s="25">
        <v>0</v>
      </c>
      <c r="E75" s="25">
        <v>0</v>
      </c>
      <c r="F75" s="25">
        <v>0</v>
      </c>
      <c r="G75" s="25">
        <v>0</v>
      </c>
      <c r="H75" s="25">
        <v>0</v>
      </c>
      <c r="I75" s="25">
        <v>0</v>
      </c>
      <c r="J75" s="25">
        <v>0</v>
      </c>
      <c r="K75" s="25">
        <v>0</v>
      </c>
      <c r="L75" s="25">
        <v>0</v>
      </c>
      <c r="M75" s="25">
        <v>0</v>
      </c>
      <c r="N75" s="25">
        <v>0</v>
      </c>
    </row>
    <row r="76" spans="1:14" ht="17.25" customHeight="1" x14ac:dyDescent="0.25">
      <c r="A76" s="5" t="s">
        <v>69</v>
      </c>
      <c r="B76" s="24">
        <v>0</v>
      </c>
      <c r="C76" s="24">
        <v>0</v>
      </c>
      <c r="D76" s="24">
        <v>0</v>
      </c>
      <c r="E76" s="24">
        <v>0</v>
      </c>
      <c r="F76" s="24">
        <v>0</v>
      </c>
      <c r="G76" s="24">
        <v>0</v>
      </c>
      <c r="H76" s="24">
        <v>0</v>
      </c>
      <c r="I76" s="24">
        <v>0</v>
      </c>
      <c r="J76" s="24">
        <v>0</v>
      </c>
      <c r="K76" s="24">
        <v>0</v>
      </c>
      <c r="L76" s="24">
        <v>0</v>
      </c>
      <c r="M76" s="24">
        <v>0</v>
      </c>
      <c r="N76" s="24">
        <v>0</v>
      </c>
    </row>
    <row r="77" spans="1:14" ht="17.25" customHeight="1" x14ac:dyDescent="0.25">
      <c r="A77" s="5" t="s">
        <v>70</v>
      </c>
      <c r="B77" s="24">
        <v>0</v>
      </c>
      <c r="C77" s="24">
        <v>0</v>
      </c>
      <c r="D77" s="24">
        <v>0</v>
      </c>
      <c r="E77" s="24">
        <v>0</v>
      </c>
      <c r="F77" s="24">
        <v>0</v>
      </c>
      <c r="G77" s="24">
        <v>0</v>
      </c>
      <c r="H77" s="24">
        <v>0</v>
      </c>
      <c r="I77" s="24">
        <v>0</v>
      </c>
      <c r="J77" s="24">
        <v>0</v>
      </c>
      <c r="K77" s="24">
        <v>0</v>
      </c>
      <c r="L77" s="24">
        <v>0</v>
      </c>
      <c r="M77" s="24">
        <v>0</v>
      </c>
      <c r="N77" s="24">
        <v>0</v>
      </c>
    </row>
    <row r="78" spans="1:14" ht="17.25" customHeight="1" x14ac:dyDescent="0.25">
      <c r="A78" s="3" t="s">
        <v>71</v>
      </c>
      <c r="B78" s="25">
        <v>0</v>
      </c>
      <c r="C78" s="25">
        <v>0</v>
      </c>
      <c r="D78" s="25">
        <v>0</v>
      </c>
      <c r="E78" s="25">
        <v>0</v>
      </c>
      <c r="F78" s="25">
        <v>0</v>
      </c>
      <c r="G78" s="25">
        <v>0</v>
      </c>
      <c r="H78" s="25">
        <v>0</v>
      </c>
      <c r="I78" s="25">
        <v>0</v>
      </c>
      <c r="J78" s="25">
        <v>0</v>
      </c>
      <c r="K78" s="25">
        <v>0</v>
      </c>
      <c r="L78" s="25">
        <v>0</v>
      </c>
      <c r="M78" s="25">
        <v>0</v>
      </c>
      <c r="N78" s="25">
        <v>0</v>
      </c>
    </row>
    <row r="79" spans="1:14" ht="17.25" customHeight="1" x14ac:dyDescent="0.25">
      <c r="A79" s="5" t="s">
        <v>72</v>
      </c>
      <c r="B79" s="24">
        <v>0</v>
      </c>
      <c r="C79" s="24">
        <v>0</v>
      </c>
      <c r="D79" s="24">
        <v>0</v>
      </c>
      <c r="E79" s="24">
        <v>0</v>
      </c>
      <c r="F79" s="24">
        <v>0</v>
      </c>
      <c r="G79" s="24">
        <v>0</v>
      </c>
      <c r="H79" s="24">
        <v>0</v>
      </c>
      <c r="I79" s="24">
        <v>0</v>
      </c>
      <c r="J79" s="24">
        <v>0</v>
      </c>
      <c r="K79" s="24">
        <v>0</v>
      </c>
      <c r="L79" s="24">
        <v>0</v>
      </c>
      <c r="M79" s="24">
        <v>0</v>
      </c>
      <c r="N79" s="24">
        <v>0</v>
      </c>
    </row>
    <row r="80" spans="1:14" ht="17.25" customHeight="1" x14ac:dyDescent="0.25">
      <c r="A80" s="5" t="s">
        <v>73</v>
      </c>
      <c r="B80" s="24">
        <v>0</v>
      </c>
      <c r="C80" s="24">
        <v>0</v>
      </c>
      <c r="D80" s="24">
        <v>0</v>
      </c>
      <c r="E80" s="24">
        <v>0</v>
      </c>
      <c r="F80" s="24">
        <v>0</v>
      </c>
      <c r="G80" s="24">
        <v>0</v>
      </c>
      <c r="H80" s="24">
        <v>0</v>
      </c>
      <c r="I80" s="24">
        <v>0</v>
      </c>
      <c r="J80" s="24">
        <v>0</v>
      </c>
      <c r="K80" s="24">
        <v>0</v>
      </c>
      <c r="L80" s="24">
        <v>0</v>
      </c>
      <c r="M80" s="24">
        <v>0</v>
      </c>
      <c r="N80" s="24">
        <v>0</v>
      </c>
    </row>
    <row r="81" spans="1:14" ht="17.25" customHeight="1" x14ac:dyDescent="0.25">
      <c r="A81" s="3" t="s">
        <v>74</v>
      </c>
      <c r="B81" s="25">
        <v>0</v>
      </c>
      <c r="C81" s="25">
        <v>0</v>
      </c>
      <c r="D81" s="25">
        <v>0</v>
      </c>
      <c r="E81" s="25">
        <v>0</v>
      </c>
      <c r="F81" s="25">
        <v>0</v>
      </c>
      <c r="G81" s="25">
        <v>0</v>
      </c>
      <c r="H81" s="25">
        <v>0</v>
      </c>
      <c r="I81" s="25">
        <v>0</v>
      </c>
      <c r="J81" s="25">
        <v>0</v>
      </c>
      <c r="K81" s="25">
        <v>0</v>
      </c>
      <c r="L81" s="25">
        <v>0</v>
      </c>
      <c r="M81" s="25">
        <v>0</v>
      </c>
      <c r="N81" s="25">
        <v>0</v>
      </c>
    </row>
    <row r="82" spans="1:14" ht="17.25" customHeight="1" x14ac:dyDescent="0.25">
      <c r="A82" s="5" t="s">
        <v>75</v>
      </c>
      <c r="B82" s="24">
        <v>0</v>
      </c>
      <c r="C82" s="24">
        <v>0</v>
      </c>
      <c r="D82" s="24">
        <v>0</v>
      </c>
      <c r="E82" s="24">
        <v>0</v>
      </c>
      <c r="F82" s="24">
        <v>0</v>
      </c>
      <c r="G82" s="24">
        <v>0</v>
      </c>
      <c r="H82" s="24">
        <v>0</v>
      </c>
      <c r="I82" s="24">
        <v>0</v>
      </c>
      <c r="J82" s="24">
        <v>0</v>
      </c>
      <c r="K82" s="24">
        <v>0</v>
      </c>
      <c r="L82" s="24">
        <v>0</v>
      </c>
      <c r="M82" s="24">
        <v>0</v>
      </c>
      <c r="N82" s="24">
        <v>0</v>
      </c>
    </row>
    <row r="83" spans="1:14" x14ac:dyDescent="0.25">
      <c r="A83" s="9" t="s">
        <v>65</v>
      </c>
      <c r="B83" s="26">
        <f>B10+B16+B24+B52+B26</f>
        <v>21633205.310000002</v>
      </c>
      <c r="C83" s="26">
        <f>C52+C16+C10+C26</f>
        <v>20824345.339999996</v>
      </c>
      <c r="D83" s="26">
        <f>D52+D16+D10+D26+D36</f>
        <v>24539426.479999997</v>
      </c>
      <c r="E83" s="26">
        <f>E52+E16+E10+E26</f>
        <v>23461468.329999998</v>
      </c>
      <c r="F83" s="26">
        <f>F52+F16+F10+F26</f>
        <v>33047756.050000001</v>
      </c>
      <c r="G83" s="26">
        <f>G52+G16+G10+G26</f>
        <v>25202494.370000001</v>
      </c>
      <c r="H83" s="26">
        <f>H52+H16+H10+H26</f>
        <v>22860437.010000002</v>
      </c>
      <c r="I83" s="26">
        <f>I52+I26+I16+I10</f>
        <v>22657354.09</v>
      </c>
      <c r="J83" s="26">
        <f>J52+J26+J16+J10</f>
        <v>22694397.009999998</v>
      </c>
      <c r="K83" s="26">
        <f>K52+K16+K10+K26</f>
        <v>34566439.890000001</v>
      </c>
      <c r="L83" s="26">
        <f>L52+L16+L10+L26</f>
        <v>38269557.840000004</v>
      </c>
      <c r="M83" s="26">
        <f>M10+M16+M52+M26</f>
        <v>0</v>
      </c>
      <c r="N83" s="26">
        <f>N52+N26+N16+N10+N36</f>
        <v>289756881.71999997</v>
      </c>
    </row>
    <row r="84" spans="1:14" x14ac:dyDescent="0.25">
      <c r="A84" s="37" t="s">
        <v>112</v>
      </c>
    </row>
    <row r="85" spans="1:14" x14ac:dyDescent="0.25">
      <c r="A85" s="37"/>
    </row>
    <row r="86" spans="1:14" ht="18.75" x14ac:dyDescent="0.3">
      <c r="A86" s="31" t="s">
        <v>101</v>
      </c>
      <c r="B86" s="30"/>
      <c r="C86" s="30"/>
      <c r="D86" s="30"/>
      <c r="E86" s="31" t="s">
        <v>102</v>
      </c>
      <c r="G86" s="32"/>
      <c r="I86" s="33"/>
      <c r="J86" s="30"/>
    </row>
    <row r="87" spans="1:14" ht="47.25" customHeight="1" x14ac:dyDescent="0.3">
      <c r="A87" s="34" t="s">
        <v>103</v>
      </c>
      <c r="B87" s="32"/>
      <c r="C87" s="30"/>
      <c r="D87" s="30"/>
      <c r="E87" s="34" t="s">
        <v>103</v>
      </c>
      <c r="G87" s="34"/>
      <c r="H87" s="30"/>
      <c r="I87" s="30"/>
      <c r="J87" s="30"/>
    </row>
    <row r="88" spans="1:14" ht="18.75" x14ac:dyDescent="0.3">
      <c r="A88" s="32" t="s">
        <v>104</v>
      </c>
      <c r="B88" s="32"/>
      <c r="C88" s="30"/>
      <c r="D88" s="30"/>
      <c r="E88" s="32" t="s">
        <v>109</v>
      </c>
      <c r="F88" s="36"/>
      <c r="G88" s="36"/>
      <c r="H88" s="36"/>
      <c r="I88" s="36"/>
      <c r="J88" s="30"/>
    </row>
    <row r="89" spans="1:14" s="54" customFormat="1" ht="18.75" x14ac:dyDescent="0.3">
      <c r="A89" s="31" t="s">
        <v>106</v>
      </c>
      <c r="B89" s="31"/>
      <c r="C89" s="30"/>
      <c r="D89" s="30"/>
      <c r="E89" s="31" t="s">
        <v>110</v>
      </c>
      <c r="G89" s="31"/>
      <c r="H89" s="30"/>
      <c r="I89" s="30"/>
      <c r="J89" s="30"/>
    </row>
    <row r="90" spans="1:14" ht="18.75" x14ac:dyDescent="0.3">
      <c r="C90" s="30"/>
      <c r="D90" s="30"/>
      <c r="E90" s="30"/>
      <c r="G90" s="30"/>
      <c r="H90" s="30"/>
      <c r="I90" s="30"/>
      <c r="J90" s="30"/>
    </row>
    <row r="91" spans="1:14" ht="18.75" x14ac:dyDescent="0.25">
      <c r="A91" s="32"/>
    </row>
  </sheetData>
  <mergeCells count="5">
    <mergeCell ref="A3:N3"/>
    <mergeCell ref="A4:N4"/>
    <mergeCell ref="A5:N5"/>
    <mergeCell ref="A6:N6"/>
    <mergeCell ref="A2:N2"/>
  </mergeCells>
  <pageMargins left="0.11811023622047245" right="0.11811023622047245" top="0.35433070866141736" bottom="0.59055118110236227" header="0.31496062992125984" footer="0.31496062992125984"/>
  <pageSetup paperSize="5" scale="65" orientation="landscape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P1 Presupuesto Aprobado</vt:lpstr>
      <vt:lpstr>P2 Presupuesto Aprobado-Ejec </vt:lpstr>
      <vt:lpstr>P3 Ejecucion </vt:lpstr>
      <vt:lpstr>'P2 Presupuesto Aprobado-Ejec '!Print_Titles</vt:lpstr>
      <vt:lpstr>'P3 Ejecucion 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Katherine M. Peguero F.</dc:creator>
  <cp:lastModifiedBy>Graciela Reyes Sanchez</cp:lastModifiedBy>
  <cp:lastPrinted>2024-12-05T19:41:26Z</cp:lastPrinted>
  <dcterms:created xsi:type="dcterms:W3CDTF">2021-07-29T18:58:50Z</dcterms:created>
  <dcterms:modified xsi:type="dcterms:W3CDTF">2024-12-05T19:43:06Z</dcterms:modified>
</cp:coreProperties>
</file>