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0184563C-6348-46E7-A104-CCCB36EDF1B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3" l="1"/>
  <c r="L52" i="3"/>
  <c r="N55" i="3"/>
  <c r="N61" i="3"/>
  <c r="N60" i="3"/>
  <c r="N59" i="3"/>
  <c r="N58" i="3"/>
  <c r="P54" i="2"/>
  <c r="P37" i="2"/>
  <c r="P35" i="2"/>
  <c r="P18" i="2"/>
  <c r="P26" i="2"/>
  <c r="P23" i="2"/>
  <c r="P19" i="2"/>
  <c r="P13" i="2"/>
  <c r="P17" i="2"/>
  <c r="K35" i="3"/>
  <c r="K29" i="3"/>
  <c r="K23" i="3"/>
  <c r="K21" i="3"/>
  <c r="K17" i="3"/>
  <c r="K11" i="3"/>
  <c r="K12" i="3"/>
  <c r="K15" i="3"/>
  <c r="J83" i="3"/>
  <c r="J52" i="3"/>
  <c r="J26" i="3"/>
  <c r="J16" i="3"/>
  <c r="N54" i="2"/>
  <c r="N18" i="2"/>
  <c r="L17" i="2"/>
  <c r="J23" i="2"/>
  <c r="E54" i="1"/>
  <c r="E54" i="2"/>
  <c r="L35" i="2"/>
  <c r="L29" i="2"/>
  <c r="L27" i="2"/>
  <c r="L23" i="2"/>
  <c r="L19" i="2"/>
  <c r="G16" i="3"/>
  <c r="F17" i="3"/>
  <c r="G35" i="3"/>
  <c r="G27" i="3"/>
  <c r="G25" i="3"/>
  <c r="G24" i="3"/>
  <c r="G23" i="3"/>
  <c r="G52" i="3"/>
  <c r="K18" i="2"/>
  <c r="G26" i="3" l="1"/>
  <c r="G33" i="3"/>
  <c r="G17" i="3"/>
  <c r="G15" i="3"/>
  <c r="G11" i="3"/>
  <c r="F26" i="3"/>
  <c r="F52" i="3"/>
  <c r="F16" i="3"/>
  <c r="F83" i="3" s="1"/>
  <c r="J54" i="2"/>
  <c r="J55" i="2"/>
  <c r="J37" i="2"/>
  <c r="J29" i="2"/>
  <c r="J18" i="2"/>
  <c r="J24" i="2"/>
  <c r="J19" i="2"/>
  <c r="J13" i="2"/>
  <c r="J17" i="2"/>
  <c r="R39" i="2"/>
  <c r="E16" i="3"/>
  <c r="E26" i="3"/>
  <c r="I37" i="2"/>
  <c r="I31" i="2"/>
  <c r="I21" i="2"/>
  <c r="I13" i="2"/>
  <c r="G83" i="3" l="1"/>
  <c r="I18" i="2"/>
  <c r="I27" i="2"/>
  <c r="I24" i="2"/>
  <c r="H23" i="2"/>
  <c r="H19" i="2"/>
  <c r="G25" i="2"/>
  <c r="G18" i="2" s="1"/>
  <c r="I19" i="2" l="1"/>
  <c r="I17" i="2"/>
  <c r="E18" i="1"/>
  <c r="H18" i="2"/>
  <c r="N37" i="3" l="1"/>
  <c r="D16" i="3"/>
  <c r="D27" i="3"/>
  <c r="D25" i="3"/>
  <c r="D24" i="3"/>
  <c r="D21" i="3"/>
  <c r="D17" i="3"/>
  <c r="D11" i="3"/>
  <c r="D15" i="3"/>
  <c r="C26" i="3"/>
  <c r="G37" i="2" l="1"/>
  <c r="G29" i="2"/>
  <c r="G27" i="2"/>
  <c r="G19" i="2" l="1"/>
  <c r="G17" i="2"/>
  <c r="G13" i="2"/>
  <c r="B16" i="3"/>
  <c r="D13" i="2"/>
  <c r="D12" i="2" s="1"/>
  <c r="D17" i="2"/>
  <c r="D14" i="2"/>
  <c r="E17" i="2"/>
  <c r="E14" i="2"/>
  <c r="F18" i="2"/>
  <c r="C16" i="3"/>
  <c r="D28" i="1"/>
  <c r="D12" i="1"/>
  <c r="M16" i="3"/>
  <c r="M26" i="3"/>
  <c r="M52" i="3"/>
  <c r="Q18" i="2"/>
  <c r="K26" i="3"/>
  <c r="R36" i="2"/>
  <c r="R59" i="2"/>
  <c r="R58" i="2"/>
  <c r="R57" i="2"/>
  <c r="H16" i="3" l="1"/>
  <c r="H52" i="3"/>
  <c r="H26" i="3"/>
  <c r="L18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K52" i="3"/>
  <c r="D52" i="3"/>
  <c r="C52" i="3"/>
  <c r="B52" i="3"/>
  <c r="B26" i="3"/>
  <c r="D18" i="2"/>
  <c r="D18" i="1" l="1"/>
  <c r="M10" i="3"/>
  <c r="Q54" i="2"/>
  <c r="E38" i="2"/>
  <c r="E18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I52" i="3"/>
  <c r="N53" i="3"/>
  <c r="D26" i="3"/>
  <c r="N25" i="3"/>
  <c r="K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D83" i="3" s="1"/>
  <c r="C10" i="3"/>
  <c r="B10" i="3"/>
  <c r="N11" i="3"/>
  <c r="R56" i="2"/>
  <c r="R55" i="2"/>
  <c r="O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O18" i="2"/>
  <c r="Q12" i="2"/>
  <c r="P12" i="2"/>
  <c r="O12" i="2"/>
  <c r="N12" i="2"/>
  <c r="M12" i="2"/>
  <c r="L12" i="2"/>
  <c r="K12" i="2"/>
  <c r="J12" i="2"/>
  <c r="I12" i="2"/>
  <c r="H12" i="2"/>
  <c r="G12" i="2"/>
  <c r="F12" i="2"/>
  <c r="D54" i="2"/>
  <c r="D38" i="2"/>
  <c r="E28" i="2"/>
  <c r="D28" i="2"/>
  <c r="E12" i="2"/>
  <c r="K83" i="3" l="1"/>
  <c r="R12" i="2"/>
  <c r="E83" i="3"/>
  <c r="C83" i="3"/>
  <c r="B83" i="3"/>
  <c r="M83" i="3"/>
  <c r="L83" i="3"/>
  <c r="D85" i="2"/>
  <c r="R54" i="2"/>
  <c r="E85" i="2"/>
  <c r="I83" i="3"/>
  <c r="N26" i="3"/>
  <c r="N10" i="3"/>
  <c r="N16" i="3"/>
  <c r="N52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D54" i="1"/>
  <c r="E38" i="1"/>
  <c r="D38" i="1"/>
  <c r="E28" i="1"/>
  <c r="E12" i="1"/>
  <c r="E85" i="1" l="1"/>
  <c r="N83" i="3"/>
  <c r="D85" i="1"/>
  <c r="R85" i="2"/>
</calcChain>
</file>

<file path=xl/sharedStrings.xml><?xml version="1.0" encoding="utf-8"?>
<sst xmlns="http://schemas.openxmlformats.org/spreadsheetml/2006/main" count="293" uniqueCount="113">
  <si>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</si>
  <si>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</si>
  <si>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</si>
  <si>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</si>
  <si>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</si>
  <si>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</si>
  <si>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</si>
  <si>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</si>
  <si>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</si>
  <si>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</si>
  <si>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</si>
  <si>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</si>
  <si>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</si>
  <si>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</si>
  <si>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</si>
  <si>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</si>
  <si>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</si>
  <si>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</si>
  <si>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</si>
  <si>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</si>
  <si>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</si>
  <si>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</si>
  <si>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</si>
  <si>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</si>
  <si>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</si>
  <si>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</si>
  <si>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</si>
  <si>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</si>
  <si>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</si>
  <si>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</si>
  <si>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</si>
  <si>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</si>
  <si>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</si>
  <si>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</si>
  <si>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</si>
  <si>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</si>
  <si>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</si>
  <si>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</si>
  <si>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</si>
  <si>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</si>
  <si>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</si>
  <si>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</si>
  <si>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</si>
  <si>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</si>
  <si>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</si>
  <si>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</si>
  <si>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</si>
  <si>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</si>
  <si>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</si>
  <si>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</si>
  <si>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</si>
  <si>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</si>
  <si>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</si>
  <si>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</si>
  <si>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</si>
  <si>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</si>
  <si>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</si>
  <si>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</si>
  <si>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</si>
  <si>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</si>
  <si>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</si>
  <si>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</si>
  <si>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</si>
  <si>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</si>
  <si>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</si>
  <si>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</si>
  <si>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</si>
  <si>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</si>
  <si>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</si>
  <si>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</si>
  <si>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</si>
  <si>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</si>
  <si>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</si>
  <si>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</si>
  <si>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</si>
  <si>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</si>
  <si>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</si>
  <si>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</si>
  <si>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</si>
  <si>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</si>
  <si>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</si>
  <si>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</si>
  <si>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</si>
  <si>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</si>
  <si>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</si>
  <si>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</si>
  <si>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</si>
  <si>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</si>
  <si>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</si>
  <si>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</si>
  <si>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</si>
  <si>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</si>
  <si>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</si>
  <si>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</si>
  <si>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</si>
  <si>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</si>
  <si>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</si>
  <si>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</si>
  <si>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</si>
  <si>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</si>
  <si>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</si>
  <si>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</si>
  <si>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</si>
  <si>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</si>
  <si>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</si>
  <si>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</si>
  <si>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</si>
  <si>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</si>
  <si>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</si>
  <si>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</si>
  <si>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</si>
  <si>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</si>
  <si>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RD$458,209.36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</si>
</sst>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600076</xdr:colOff>
      <xdr:row>1</xdr:row>
      <xdr:rowOff>104775</xdr:rowOff>
    </xdr:from>
    <xdr:to>
      <xdr:col>17</xdr:col>
      <xdr:colOff>459262</xdr:colOff>
      <xdr:row>5</xdr:row>
      <xdr:rowOff>126000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6" y="29527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0</xdr:row>
      <xdr:rowOff>57150</xdr:rowOff>
    </xdr:from>
    <xdr:to>
      <xdr:col>13</xdr:col>
      <xdr:colOff>676274</xdr:colOff>
      <xdr:row>6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582775" y="57150"/>
          <a:ext cx="1943099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11</xdr:col>
      <xdr:colOff>838201</xdr:colOff>
      <xdr:row>0</xdr:row>
      <xdr:rowOff>57150</xdr:rowOff>
    </xdr:from>
    <xdr:to>
      <xdr:col>13</xdr:col>
      <xdr:colOff>525937</xdr:colOff>
      <xdr:row>5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6" y="5715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19" workbookViewId="0">
      <selection activeCell="E91" sqref="E91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8" t="s">
        <v>111</v>
      </c>
      <c r="D3" s="38"/>
      <c r="E3" s="3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8" t="s">
        <v>98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4">
        <v>2024</v>
      </c>
      <c r="D5" s="45"/>
      <c r="E5" s="4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9" t="s">
        <v>76</v>
      </c>
      <c r="D6" s="40"/>
      <c r="E6" s="4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1" t="s">
        <v>66</v>
      </c>
      <c r="D9" s="42" t="s">
        <v>94</v>
      </c>
      <c r="E9" s="42" t="s">
        <v>93</v>
      </c>
      <c r="F9" s="8"/>
    </row>
    <row r="10" spans="2:16" ht="23.25" customHeight="1" x14ac:dyDescent="0.25">
      <c r="C10" s="41"/>
      <c r="D10" s="43"/>
      <c r="E10" s="43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220213213</v>
      </c>
      <c r="E12" s="4">
        <f>E13+E14+E17</f>
        <v>220213213</v>
      </c>
      <c r="F12" s="8"/>
    </row>
    <row r="13" spans="2:16" x14ac:dyDescent="0.25">
      <c r="C13" s="5" t="s">
        <v>2</v>
      </c>
      <c r="D13" s="6">
        <v>169461162</v>
      </c>
      <c r="E13" s="6">
        <v>169461162</v>
      </c>
      <c r="F13" s="8"/>
    </row>
    <row r="14" spans="2:16" x14ac:dyDescent="0.25">
      <c r="C14" s="5" t="s">
        <v>3</v>
      </c>
      <c r="D14" s="6">
        <v>28002000</v>
      </c>
      <c r="E14" s="6">
        <v>28002000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22750051</v>
      </c>
      <c r="E17" s="6">
        <v>22750051</v>
      </c>
      <c r="F17" s="8"/>
    </row>
    <row r="18" spans="3:6" x14ac:dyDescent="0.25">
      <c r="C18" s="3" t="s">
        <v>7</v>
      </c>
      <c r="D18" s="4">
        <f>D19+D20+D21+D22+D23+D24+D25+D26+D27</f>
        <v>78140849</v>
      </c>
      <c r="E18" s="4">
        <f>E19+E20+E21+E22+E23+E24+E25+E26+E27</f>
        <v>91527179</v>
      </c>
      <c r="F18" s="8"/>
    </row>
    <row r="19" spans="3:6" x14ac:dyDescent="0.25">
      <c r="C19" s="5" t="s">
        <v>8</v>
      </c>
      <c r="D19" s="6">
        <v>23080000</v>
      </c>
      <c r="E19" s="6">
        <v>24785000</v>
      </c>
      <c r="F19" s="8"/>
    </row>
    <row r="20" spans="3:6" x14ac:dyDescent="0.25">
      <c r="C20" s="5" t="s">
        <v>9</v>
      </c>
      <c r="D20" s="6">
        <v>515000</v>
      </c>
      <c r="E20" s="6">
        <v>465000</v>
      </c>
      <c r="F20" s="8"/>
    </row>
    <row r="21" spans="3:6" x14ac:dyDescent="0.25">
      <c r="C21" s="5" t="s">
        <v>10</v>
      </c>
      <c r="D21" s="6">
        <v>4200000</v>
      </c>
      <c r="E21" s="6">
        <v>16610000</v>
      </c>
      <c r="F21" s="8"/>
    </row>
    <row r="22" spans="3:6" x14ac:dyDescent="0.25">
      <c r="C22" s="5" t="s">
        <v>11</v>
      </c>
      <c r="D22" s="6">
        <v>2720000</v>
      </c>
      <c r="E22" s="6">
        <v>2850000</v>
      </c>
      <c r="F22" s="8"/>
    </row>
    <row r="23" spans="3:6" x14ac:dyDescent="0.25">
      <c r="C23" s="5" t="s">
        <v>12</v>
      </c>
      <c r="D23" s="6">
        <v>22629000</v>
      </c>
      <c r="E23" s="6">
        <v>21222000</v>
      </c>
    </row>
    <row r="24" spans="3:6" x14ac:dyDescent="0.25">
      <c r="C24" s="5" t="s">
        <v>13</v>
      </c>
      <c r="D24" s="6">
        <v>13300000</v>
      </c>
      <c r="E24" s="6">
        <v>13310830</v>
      </c>
    </row>
    <row r="25" spans="3:6" x14ac:dyDescent="0.25">
      <c r="C25" s="5" t="s">
        <v>14</v>
      </c>
      <c r="D25" s="6">
        <v>4900000</v>
      </c>
      <c r="E25" s="6">
        <v>3687500</v>
      </c>
    </row>
    <row r="26" spans="3:6" x14ac:dyDescent="0.25">
      <c r="C26" s="5" t="s">
        <v>15</v>
      </c>
      <c r="D26" s="6">
        <v>3896849</v>
      </c>
      <c r="E26" s="6">
        <v>4541349</v>
      </c>
    </row>
    <row r="27" spans="3:6" x14ac:dyDescent="0.25">
      <c r="C27" s="5" t="s">
        <v>16</v>
      </c>
      <c r="D27" s="6">
        <v>2900000</v>
      </c>
      <c r="E27" s="6">
        <v>4055500</v>
      </c>
    </row>
    <row r="28" spans="3:6" x14ac:dyDescent="0.25">
      <c r="C28" s="3" t="s">
        <v>17</v>
      </c>
      <c r="D28" s="4">
        <f>D29+D30+D31+D32+D33+D34+D35+D37</f>
        <v>15617678</v>
      </c>
      <c r="E28" s="4">
        <f>E29+E30+E31+E32+E33+E34+E35+E37</f>
        <v>16741348</v>
      </c>
    </row>
    <row r="29" spans="3:6" x14ac:dyDescent="0.25">
      <c r="C29" s="5" t="s">
        <v>18</v>
      </c>
      <c r="D29" s="6">
        <v>665000</v>
      </c>
      <c r="E29" s="6">
        <v>916300</v>
      </c>
    </row>
    <row r="30" spans="3:6" x14ac:dyDescent="0.25">
      <c r="C30" s="5" t="s">
        <v>19</v>
      </c>
      <c r="D30" s="6">
        <v>448000</v>
      </c>
      <c r="E30" s="6">
        <v>366600</v>
      </c>
    </row>
    <row r="31" spans="3:6" x14ac:dyDescent="0.25">
      <c r="C31" s="5" t="s">
        <v>20</v>
      </c>
      <c r="D31" s="6">
        <v>675000</v>
      </c>
      <c r="E31" s="6">
        <v>540000</v>
      </c>
    </row>
    <row r="32" spans="3:6" x14ac:dyDescent="0.25">
      <c r="C32" s="5" t="s">
        <v>21</v>
      </c>
      <c r="D32" s="6">
        <v>10000</v>
      </c>
      <c r="E32" s="6">
        <v>4000</v>
      </c>
    </row>
    <row r="33" spans="3:5" x14ac:dyDescent="0.25">
      <c r="C33" s="5" t="s">
        <v>22</v>
      </c>
      <c r="D33" s="6">
        <v>700000</v>
      </c>
      <c r="E33" s="6">
        <v>563400</v>
      </c>
    </row>
    <row r="34" spans="3:5" x14ac:dyDescent="0.25">
      <c r="C34" s="5" t="s">
        <v>23</v>
      </c>
      <c r="D34" s="6">
        <v>119678</v>
      </c>
      <c r="E34" s="6">
        <v>399678</v>
      </c>
    </row>
    <row r="35" spans="3:5" x14ac:dyDescent="0.25">
      <c r="C35" s="5" t="s">
        <v>24</v>
      </c>
      <c r="D35" s="6">
        <v>11100000</v>
      </c>
      <c r="E35" s="6">
        <v>11397200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1900000</v>
      </c>
      <c r="E37" s="6">
        <v>2554170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3000000</v>
      </c>
      <c r="E54" s="4">
        <f>E55+E58+E59+E56+E62</f>
        <v>3000000</v>
      </c>
    </row>
    <row r="55" spans="3:5" x14ac:dyDescent="0.25">
      <c r="C55" s="5" t="s">
        <v>44</v>
      </c>
      <c r="D55" s="6">
        <v>1900000</v>
      </c>
      <c r="E55" s="6">
        <v>2335000</v>
      </c>
    </row>
    <row r="56" spans="3:5" x14ac:dyDescent="0.25">
      <c r="C56" s="5" t="s">
        <v>45</v>
      </c>
      <c r="D56" s="6"/>
      <c r="E56" s="6">
        <v>168000</v>
      </c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>
        <v>27000</v>
      </c>
    </row>
    <row r="59" spans="3:5" x14ac:dyDescent="0.25">
      <c r="C59" s="5" t="s">
        <v>48</v>
      </c>
      <c r="D59" s="6">
        <v>1100000</v>
      </c>
      <c r="E59" s="6">
        <v>420000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50000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317021740</v>
      </c>
      <c r="E85" s="23">
        <f>E54+E38+E28+E18+E12</f>
        <v>331531740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opLeftCell="D69" workbookViewId="0">
      <selection activeCell="Q85" sqref="Q85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9.570312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7" max="17" width="13.42578125" customWidth="1"/>
    <col min="18" max="18" width="15.5703125" customWidth="1"/>
  </cols>
  <sheetData>
    <row r="3" spans="3:19" ht="28.5" customHeight="1" x14ac:dyDescent="0.25">
      <c r="C3" s="50" t="s">
        <v>111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3:19" ht="21" customHeight="1" x14ac:dyDescent="0.25">
      <c r="C4" s="52" t="s">
        <v>99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3:19" ht="15.75" x14ac:dyDescent="0.25">
      <c r="C5" s="44">
        <v>2024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2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2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25">
      <c r="C9" s="41" t="s">
        <v>66</v>
      </c>
      <c r="D9" s="42" t="s">
        <v>94</v>
      </c>
      <c r="E9" s="42" t="s">
        <v>93</v>
      </c>
      <c r="F9" s="47" t="s">
        <v>91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1"/>
      <c r="D10" s="43"/>
      <c r="E10" s="43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5">
        <f>D13+D14+D17</f>
        <v>220213213</v>
      </c>
      <c r="E12" s="25">
        <f>E13+E14+E17</f>
        <v>220213213</v>
      </c>
      <c r="F12" s="25">
        <f t="shared" ref="F12:Q12" si="0">F13+F14+F17</f>
        <v>14296930.99</v>
      </c>
      <c r="G12" s="25">
        <f t="shared" si="0"/>
        <v>14372212.880000001</v>
      </c>
      <c r="H12" s="25">
        <f t="shared" si="0"/>
        <v>15495728.01</v>
      </c>
      <c r="I12" s="25">
        <f t="shared" si="0"/>
        <v>14490865.289999999</v>
      </c>
      <c r="J12" s="25">
        <f t="shared" si="0"/>
        <v>26405869.960000001</v>
      </c>
      <c r="K12" s="25">
        <f t="shared" si="0"/>
        <v>14862186.59</v>
      </c>
      <c r="L12" s="25">
        <f t="shared" si="0"/>
        <v>14790923.1</v>
      </c>
      <c r="M12" s="25">
        <f t="shared" si="0"/>
        <v>14902826.799999999</v>
      </c>
      <c r="N12" s="25">
        <f t="shared" si="0"/>
        <v>14468897.75</v>
      </c>
      <c r="O12" s="25">
        <f t="shared" si="0"/>
        <v>28762097.880000003</v>
      </c>
      <c r="P12" s="25">
        <f t="shared" si="0"/>
        <v>27504141.890000001</v>
      </c>
      <c r="Q12" s="25">
        <f t="shared" si="0"/>
        <v>0</v>
      </c>
      <c r="R12" s="25">
        <f>SUM(F12:Q12)</f>
        <v>200352681.13999999</v>
      </c>
    </row>
    <row r="13" spans="3:19" x14ac:dyDescent="0.25">
      <c r="C13" s="5" t="s">
        <v>2</v>
      </c>
      <c r="D13" s="24">
        <f>145407162+6404000+12450000+3700000+1500000</f>
        <v>169461162</v>
      </c>
      <c r="E13" s="24">
        <v>169461162</v>
      </c>
      <c r="F13" s="24">
        <v>12143507.34</v>
      </c>
      <c r="G13" s="24">
        <f>11376807.09+827000</f>
        <v>12203807.09</v>
      </c>
      <c r="H13" s="24">
        <v>13399653.869999999</v>
      </c>
      <c r="I13" s="24">
        <f>11494685.07+563000+286558.37</f>
        <v>12344243.439999999</v>
      </c>
      <c r="J13" s="24">
        <f>11461835.99+400000+690642+297258+11464509.6</f>
        <v>24314245.59</v>
      </c>
      <c r="K13" s="24">
        <v>12681623.6</v>
      </c>
      <c r="L13" s="24">
        <v>12593683.199999999</v>
      </c>
      <c r="M13" s="24">
        <v>12717348.529999999</v>
      </c>
      <c r="N13" s="24">
        <v>12326589.609999999</v>
      </c>
      <c r="O13" s="24">
        <v>14426669.439999999</v>
      </c>
      <c r="P13" s="24">
        <f>12252772.94+64000+27333.33+12030802+963548.69</f>
        <v>25338456.960000001</v>
      </c>
      <c r="Q13" s="24">
        <v>0</v>
      </c>
      <c r="R13" s="24">
        <f>SUM(F13:Q13)</f>
        <v>164489828.67000002</v>
      </c>
    </row>
    <row r="14" spans="3:19" x14ac:dyDescent="0.25">
      <c r="C14" s="5" t="s">
        <v>3</v>
      </c>
      <c r="D14" s="24">
        <f>4002000+12000000+12000000</f>
        <v>28002000</v>
      </c>
      <c r="E14" s="24">
        <f>4002000+12000000+12000000</f>
        <v>28002000</v>
      </c>
      <c r="F14" s="24">
        <v>333500</v>
      </c>
      <c r="G14" s="24">
        <v>333500</v>
      </c>
      <c r="H14" s="24">
        <v>333500</v>
      </c>
      <c r="I14" s="24">
        <v>333500</v>
      </c>
      <c r="J14" s="24">
        <v>308500</v>
      </c>
      <c r="K14" s="24">
        <v>308500</v>
      </c>
      <c r="L14" s="24">
        <v>333500</v>
      </c>
      <c r="M14" s="24">
        <v>333500</v>
      </c>
      <c r="N14" s="24">
        <v>288500</v>
      </c>
      <c r="O14" s="24">
        <v>12492399.27</v>
      </c>
      <c r="P14" s="24">
        <v>309500</v>
      </c>
      <c r="Q14" s="24">
        <v>0</v>
      </c>
      <c r="R14" s="24">
        <f>SUM(F14:Q14)</f>
        <v>15708399.27</v>
      </c>
    </row>
    <row r="15" spans="3:19" x14ac:dyDescent="0.25">
      <c r="C15" s="5" t="s">
        <v>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7"/>
    </row>
    <row r="16" spans="3:19" x14ac:dyDescent="0.25">
      <c r="C16" s="5" t="s">
        <v>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3:18" x14ac:dyDescent="0.25">
      <c r="C17" s="5" t="s">
        <v>6</v>
      </c>
      <c r="D17" s="24">
        <f>10570151+10854000+1325900</f>
        <v>22750051</v>
      </c>
      <c r="E17" s="24">
        <f>10570151+10854000+1325900</f>
        <v>22750051</v>
      </c>
      <c r="F17" s="24">
        <v>1819923.65</v>
      </c>
      <c r="G17" s="24">
        <f>859409.67+866470.3+109025.82</f>
        <v>1834905.7900000003</v>
      </c>
      <c r="H17" s="24">
        <v>1762574.14</v>
      </c>
      <c r="I17" s="24">
        <f>849049.59+856095.62+107976.64</f>
        <v>1813121.8499999999</v>
      </c>
      <c r="J17" s="24">
        <f>835163.87+842190.36+105770.14</f>
        <v>1783124.3699999999</v>
      </c>
      <c r="K17" s="24">
        <v>1872062.99</v>
      </c>
      <c r="L17" s="24">
        <f>872482.14+879561.27+111696.49</f>
        <v>1863739.9000000001</v>
      </c>
      <c r="M17" s="24">
        <v>1851978.27</v>
      </c>
      <c r="N17" s="24">
        <v>1853808.14</v>
      </c>
      <c r="O17" s="24">
        <v>1843029.17</v>
      </c>
      <c r="P17" s="24">
        <f>868293.29+876431.54+111460.1</f>
        <v>1856184.9300000002</v>
      </c>
      <c r="Q17" s="24">
        <v>0</v>
      </c>
      <c r="R17" s="24">
        <f t="shared" ref="R17:R27" si="1">SUM(F17:Q17)</f>
        <v>20154453.199999999</v>
      </c>
    </row>
    <row r="18" spans="3:18" x14ac:dyDescent="0.25">
      <c r="C18" s="3" t="s">
        <v>7</v>
      </c>
      <c r="D18" s="25">
        <f t="shared" ref="D18:I18" si="2">D19+D20+D21+D22+D23+D24+D25+D26+D27</f>
        <v>78140849</v>
      </c>
      <c r="E18" s="25">
        <f t="shared" si="2"/>
        <v>91527179</v>
      </c>
      <c r="F18" s="25">
        <f t="shared" si="2"/>
        <v>6620670.3200000003</v>
      </c>
      <c r="G18" s="25">
        <f t="shared" si="2"/>
        <v>4391463.0600000005</v>
      </c>
      <c r="H18" s="25">
        <f t="shared" si="2"/>
        <v>8824323.0700000003</v>
      </c>
      <c r="I18" s="25">
        <f t="shared" si="2"/>
        <v>7688170.1600000001</v>
      </c>
      <c r="J18" s="25">
        <f>J19+J20+J21+J22+J23+J24+J25+J26+J27</f>
        <v>5483939.25</v>
      </c>
      <c r="K18" s="25">
        <f>K19+K20+K21+K22+K23+K24+K25+K26+K27</f>
        <v>7848671.5499999998</v>
      </c>
      <c r="L18" s="25">
        <f>L19+L20+L21+L22+L23+L24+L25+L26+L27</f>
        <v>7113597.3099999996</v>
      </c>
      <c r="M18" s="25">
        <f>M19+M20+M21+M22+M23+M24+M25+M26+M27</f>
        <v>6608735.9630000005</v>
      </c>
      <c r="N18" s="25">
        <f>N19+N20+N21+N22+N23+N24+N25+N26+N27</f>
        <v>7080793.5300000003</v>
      </c>
      <c r="O18" s="25">
        <f t="shared" ref="O18" si="3">O19+O20+O21+O22+O23+O24+O25+O26</f>
        <v>5621676</v>
      </c>
      <c r="P18" s="25">
        <f>P19+P20+P21+P22+P23+P24+P25+P26+P27</f>
        <v>8704288.3499999996</v>
      </c>
      <c r="Q18" s="25">
        <f>Q19+Q20+Q21+Q22+Q23+Q24+Q25+Q26+Q27</f>
        <v>0</v>
      </c>
      <c r="R18" s="25">
        <f t="shared" si="1"/>
        <v>75986328.562999994</v>
      </c>
    </row>
    <row r="19" spans="3:18" x14ac:dyDescent="0.25">
      <c r="C19" s="5" t="s">
        <v>8</v>
      </c>
      <c r="D19" s="24">
        <v>23080000</v>
      </c>
      <c r="E19" s="24">
        <v>24785000</v>
      </c>
      <c r="F19" s="24">
        <v>2305139.54</v>
      </c>
      <c r="G19" s="24">
        <f>435773.34+200867.09+986583.16+572753.39</f>
        <v>2195976.98</v>
      </c>
      <c r="H19" s="24">
        <f>531894.62+219894.11+999645.05+574030.01</f>
        <v>2325463.79</v>
      </c>
      <c r="I19" s="24">
        <f>484997.82+212250.14+991064.55+603000.69</f>
        <v>2291313.2000000002</v>
      </c>
      <c r="J19" s="24">
        <f>474796.68+207121.11+993058.71+598636.33</f>
        <v>2273612.83</v>
      </c>
      <c r="K19" s="24">
        <v>2295791.36</v>
      </c>
      <c r="L19" s="24">
        <f>385113.19+181759.16+994111.87+621525.71</f>
        <v>2182509.9299999997</v>
      </c>
      <c r="M19" s="24">
        <v>2344086.4900000002</v>
      </c>
      <c r="N19" s="24">
        <v>2228402.77</v>
      </c>
      <c r="O19" s="24">
        <v>1808043.44</v>
      </c>
      <c r="P19" s="24">
        <f>183550.77+215848.78+922322.18+717506.65</f>
        <v>2039228.38</v>
      </c>
      <c r="Q19" s="24">
        <v>0</v>
      </c>
      <c r="R19" s="24">
        <f t="shared" si="1"/>
        <v>24289568.709999997</v>
      </c>
    </row>
    <row r="20" spans="3:18" x14ac:dyDescent="0.25">
      <c r="C20" s="5" t="s">
        <v>9</v>
      </c>
      <c r="D20" s="24">
        <v>515000</v>
      </c>
      <c r="E20" s="24">
        <v>465000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18585</v>
      </c>
      <c r="O20" s="24">
        <v>0</v>
      </c>
      <c r="P20" s="24">
        <v>0</v>
      </c>
      <c r="Q20" s="24">
        <v>0</v>
      </c>
      <c r="R20" s="24">
        <f t="shared" si="1"/>
        <v>18585</v>
      </c>
    </row>
    <row r="21" spans="3:18" x14ac:dyDescent="0.25">
      <c r="C21" s="5" t="s">
        <v>10</v>
      </c>
      <c r="D21" s="24">
        <v>4200000</v>
      </c>
      <c r="E21" s="24">
        <v>16610000</v>
      </c>
      <c r="F21" s="24">
        <v>2686800</v>
      </c>
      <c r="G21" s="24">
        <v>1180200</v>
      </c>
      <c r="H21" s="24">
        <v>2909800</v>
      </c>
      <c r="I21" s="24">
        <f>879200+198000</f>
        <v>1077200</v>
      </c>
      <c r="J21" s="24">
        <v>0</v>
      </c>
      <c r="K21" s="24">
        <v>0</v>
      </c>
      <c r="L21" s="24">
        <v>2028795</v>
      </c>
      <c r="M21" s="24">
        <v>0</v>
      </c>
      <c r="N21" s="24">
        <v>157200</v>
      </c>
      <c r="O21" s="24">
        <v>57600</v>
      </c>
      <c r="P21" s="24">
        <v>2311700</v>
      </c>
      <c r="Q21" s="24">
        <v>0</v>
      </c>
      <c r="R21" s="24">
        <f t="shared" si="1"/>
        <v>12409295</v>
      </c>
    </row>
    <row r="22" spans="3:18" x14ac:dyDescent="0.25">
      <c r="C22" s="5" t="s">
        <v>11</v>
      </c>
      <c r="D22" s="24">
        <v>2720000</v>
      </c>
      <c r="E22" s="24">
        <v>2850000</v>
      </c>
      <c r="F22" s="24">
        <v>0</v>
      </c>
      <c r="G22" s="24">
        <v>0</v>
      </c>
      <c r="H22" s="24">
        <v>0</v>
      </c>
      <c r="I22" s="24">
        <v>13000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54000</v>
      </c>
      <c r="Q22" s="24">
        <v>0</v>
      </c>
      <c r="R22" s="24">
        <f t="shared" si="1"/>
        <v>67000</v>
      </c>
    </row>
    <row r="23" spans="3:18" x14ac:dyDescent="0.25">
      <c r="C23" s="5" t="s">
        <v>12</v>
      </c>
      <c r="D23" s="24">
        <v>22629000</v>
      </c>
      <c r="E23" s="24">
        <v>21222000</v>
      </c>
      <c r="F23" s="24">
        <v>1346926.08</v>
      </c>
      <c r="G23" s="24">
        <v>217739.5</v>
      </c>
      <c r="H23" s="24">
        <f>2205964.26+76517.1</f>
        <v>2282481.36</v>
      </c>
      <c r="I23" s="24">
        <v>1670527.88</v>
      </c>
      <c r="J23" s="24">
        <f>1320277.21+357549.12</f>
        <v>1677826.33</v>
      </c>
      <c r="K23" s="24">
        <v>2950844.98</v>
      </c>
      <c r="L23" s="24">
        <f>1320514.55+111850.43</f>
        <v>1432364.98</v>
      </c>
      <c r="M23" s="24">
        <v>2307019.81</v>
      </c>
      <c r="N23" s="24">
        <v>2634129.5499999998</v>
      </c>
      <c r="O23" s="24">
        <v>1405002.55</v>
      </c>
      <c r="P23" s="24">
        <f>1649809.97+84488</f>
        <v>1734297.97</v>
      </c>
      <c r="Q23" s="24">
        <v>0</v>
      </c>
      <c r="R23" s="24">
        <f t="shared" si="1"/>
        <v>19659160.990000002</v>
      </c>
    </row>
    <row r="24" spans="3:18" x14ac:dyDescent="0.25">
      <c r="C24" s="5" t="s">
        <v>13</v>
      </c>
      <c r="D24" s="24">
        <v>13300000</v>
      </c>
      <c r="E24" s="24">
        <v>13310830</v>
      </c>
      <c r="F24" s="24">
        <v>0</v>
      </c>
      <c r="G24" s="24">
        <v>588468.36</v>
      </c>
      <c r="H24" s="24">
        <v>978800.4</v>
      </c>
      <c r="I24" s="24">
        <f>347489.18+1056336.4</f>
        <v>1403825.5799999998</v>
      </c>
      <c r="J24" s="24">
        <f>1047626.59+289347.5</f>
        <v>1336974.0899999999</v>
      </c>
      <c r="K24" s="24">
        <v>1105871.75</v>
      </c>
      <c r="L24" s="24">
        <v>1071583.1000000001</v>
      </c>
      <c r="M24" s="24">
        <v>1523758.37</v>
      </c>
      <c r="N24" s="24">
        <v>1475442.64</v>
      </c>
      <c r="O24" s="24">
        <v>1252702.54</v>
      </c>
      <c r="P24" s="24">
        <v>1225786.6399999999</v>
      </c>
      <c r="Q24" s="24">
        <v>0</v>
      </c>
      <c r="R24" s="24">
        <f t="shared" si="1"/>
        <v>11963213.469999999</v>
      </c>
    </row>
    <row r="25" spans="3:18" ht="30" x14ac:dyDescent="0.25">
      <c r="C25" s="29" t="s">
        <v>14</v>
      </c>
      <c r="D25" s="24">
        <v>4900000</v>
      </c>
      <c r="E25" s="24">
        <v>3687500</v>
      </c>
      <c r="F25" s="24">
        <v>0</v>
      </c>
      <c r="G25" s="24">
        <f>49135.2+54566.66</f>
        <v>103701.86</v>
      </c>
      <c r="H25" s="24">
        <v>0</v>
      </c>
      <c r="I25" s="24">
        <v>308853.2</v>
      </c>
      <c r="J25" s="24">
        <v>10384</v>
      </c>
      <c r="K25" s="24">
        <v>818779.89</v>
      </c>
      <c r="L25" s="24">
        <v>57741.33</v>
      </c>
      <c r="M25" s="24">
        <v>57741.332999999999</v>
      </c>
      <c r="N25" s="24">
        <v>322297.33</v>
      </c>
      <c r="O25" s="24">
        <v>285599.33</v>
      </c>
      <c r="P25" s="24">
        <v>385270</v>
      </c>
      <c r="Q25" s="24">
        <v>0</v>
      </c>
      <c r="R25" s="24">
        <f t="shared" si="1"/>
        <v>2350368.273</v>
      </c>
    </row>
    <row r="26" spans="3:18" x14ac:dyDescent="0.25">
      <c r="C26" s="5" t="s">
        <v>15</v>
      </c>
      <c r="D26" s="24">
        <v>3896849</v>
      </c>
      <c r="E26" s="24">
        <v>4541349</v>
      </c>
      <c r="F26" s="24">
        <v>0</v>
      </c>
      <c r="G26" s="24">
        <v>26786</v>
      </c>
      <c r="H26" s="24">
        <v>66000</v>
      </c>
      <c r="I26" s="24">
        <v>708000</v>
      </c>
      <c r="J26" s="24">
        <v>4602</v>
      </c>
      <c r="K26" s="24">
        <v>321508</v>
      </c>
      <c r="L26" s="24">
        <v>8614</v>
      </c>
      <c r="M26" s="24">
        <v>125230</v>
      </c>
      <c r="N26" s="24">
        <v>30962.26</v>
      </c>
      <c r="O26" s="24">
        <v>812728.14</v>
      </c>
      <c r="P26" s="24">
        <f>116230+373290</f>
        <v>489520</v>
      </c>
      <c r="Q26" s="24">
        <v>0</v>
      </c>
      <c r="R26" s="24">
        <f t="shared" si="1"/>
        <v>2593950.4</v>
      </c>
    </row>
    <row r="27" spans="3:18" x14ac:dyDescent="0.25">
      <c r="C27" s="5" t="s">
        <v>16</v>
      </c>
      <c r="D27" s="24">
        <v>2900000</v>
      </c>
      <c r="E27" s="24">
        <v>4055500</v>
      </c>
      <c r="F27" s="24">
        <v>281804.7</v>
      </c>
      <c r="G27" s="24">
        <f>68819.96+9770.4</f>
        <v>78590.36</v>
      </c>
      <c r="H27" s="24">
        <v>261777.52</v>
      </c>
      <c r="I27" s="24">
        <f>157258.6+58191.7</f>
        <v>215450.3</v>
      </c>
      <c r="J27" s="24">
        <v>180540</v>
      </c>
      <c r="K27" s="24">
        <v>355875.57</v>
      </c>
      <c r="L27" s="24">
        <f>233694.97+98294</f>
        <v>331988.96999999997</v>
      </c>
      <c r="M27" s="24">
        <v>250899.96</v>
      </c>
      <c r="N27" s="24">
        <v>213773.98</v>
      </c>
      <c r="O27" s="24">
        <v>0</v>
      </c>
      <c r="P27" s="24">
        <v>464485.36</v>
      </c>
      <c r="Q27" s="24">
        <v>0</v>
      </c>
      <c r="R27" s="24">
        <f t="shared" si="1"/>
        <v>2635186.7199999997</v>
      </c>
    </row>
    <row r="28" spans="3:18" x14ac:dyDescent="0.25">
      <c r="C28" s="3" t="s">
        <v>17</v>
      </c>
      <c r="D28" s="25">
        <f>D29+D30+D31+D32+D33+D34+D35+D37</f>
        <v>15617678</v>
      </c>
      <c r="E28" s="25">
        <f>E29+E30+E31+E32+E33+E34+E35+E37</f>
        <v>16741348</v>
      </c>
      <c r="F28" s="25">
        <f t="shared" ref="F28:R28" si="4">F29+F30+F31+F32+F33+F34+F35+F37</f>
        <v>715604</v>
      </c>
      <c r="G28" s="25">
        <f t="shared" si="4"/>
        <v>2060669.4</v>
      </c>
      <c r="H28" s="25">
        <f t="shared" si="4"/>
        <v>195375.4</v>
      </c>
      <c r="I28" s="25">
        <f t="shared" si="4"/>
        <v>1282432.8799999999</v>
      </c>
      <c r="J28" s="25">
        <f t="shared" si="4"/>
        <v>1063414.23</v>
      </c>
      <c r="K28" s="25">
        <f t="shared" si="4"/>
        <v>2451261.69</v>
      </c>
      <c r="L28" s="25">
        <f t="shared" si="4"/>
        <v>955916.6</v>
      </c>
      <c r="M28" s="25">
        <f t="shared" si="4"/>
        <v>1020059.72</v>
      </c>
      <c r="N28" s="25">
        <f t="shared" si="4"/>
        <v>1033769.2100000001</v>
      </c>
      <c r="O28" s="25">
        <f t="shared" si="4"/>
        <v>86918</v>
      </c>
      <c r="P28" s="25">
        <f t="shared" si="4"/>
        <v>1994243.6</v>
      </c>
      <c r="Q28" s="25">
        <f t="shared" si="4"/>
        <v>0</v>
      </c>
      <c r="R28" s="25">
        <f t="shared" si="4"/>
        <v>12859664.73</v>
      </c>
    </row>
    <row r="29" spans="3:18" x14ac:dyDescent="0.25">
      <c r="C29" s="5" t="s">
        <v>18</v>
      </c>
      <c r="D29" s="24">
        <v>665000</v>
      </c>
      <c r="E29" s="24">
        <v>916300</v>
      </c>
      <c r="F29" s="24">
        <v>0</v>
      </c>
      <c r="G29" s="24">
        <f>10570+25623.2</f>
        <v>36193.199999999997</v>
      </c>
      <c r="H29" s="24">
        <v>11260</v>
      </c>
      <c r="I29" s="24">
        <v>97335.29</v>
      </c>
      <c r="J29" s="24">
        <f>8260+99125.66</f>
        <v>107385.66</v>
      </c>
      <c r="K29" s="24">
        <v>24523.599999999999</v>
      </c>
      <c r="L29" s="24">
        <f>12880+15422.6</f>
        <v>28302.6</v>
      </c>
      <c r="M29" s="24">
        <v>15889</v>
      </c>
      <c r="N29" s="24">
        <v>104911.63</v>
      </c>
      <c r="O29" s="24">
        <v>20700</v>
      </c>
      <c r="P29" s="24">
        <v>3304</v>
      </c>
      <c r="Q29" s="24">
        <v>0</v>
      </c>
      <c r="R29" s="24">
        <f t="shared" ref="R29:R36" si="5">SUM(F29:Q29)</f>
        <v>449804.98</v>
      </c>
    </row>
    <row r="30" spans="3:18" x14ac:dyDescent="0.25">
      <c r="C30" s="5" t="s">
        <v>19</v>
      </c>
      <c r="D30" s="24">
        <v>448000</v>
      </c>
      <c r="E30" s="24">
        <v>366600</v>
      </c>
      <c r="F30" s="24">
        <v>0</v>
      </c>
      <c r="G30" s="24">
        <v>0</v>
      </c>
      <c r="H30" s="24">
        <v>184115.4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f t="shared" si="5"/>
        <v>184115.4</v>
      </c>
    </row>
    <row r="31" spans="3:18" x14ac:dyDescent="0.25">
      <c r="C31" s="5" t="s">
        <v>20</v>
      </c>
      <c r="D31" s="24">
        <v>675000</v>
      </c>
      <c r="E31" s="24">
        <v>540000</v>
      </c>
      <c r="F31" s="24">
        <v>0</v>
      </c>
      <c r="G31" s="24">
        <v>0</v>
      </c>
      <c r="H31" s="24">
        <v>0</v>
      </c>
      <c r="I31" s="24">
        <f>58882+159770.21</f>
        <v>218652.21</v>
      </c>
      <c r="J31" s="24">
        <v>0</v>
      </c>
      <c r="K31" s="24">
        <v>3450</v>
      </c>
      <c r="L31" s="24">
        <v>0</v>
      </c>
      <c r="M31" s="24">
        <v>0</v>
      </c>
      <c r="N31" s="24">
        <v>113006.38</v>
      </c>
      <c r="O31" s="24">
        <v>60294.28</v>
      </c>
      <c r="P31" s="24">
        <v>0</v>
      </c>
      <c r="Q31" s="24">
        <v>0</v>
      </c>
      <c r="R31" s="24">
        <f t="shared" si="5"/>
        <v>395402.87</v>
      </c>
    </row>
    <row r="32" spans="3:18" x14ac:dyDescent="0.25">
      <c r="C32" s="5" t="s">
        <v>21</v>
      </c>
      <c r="D32" s="24">
        <v>10000</v>
      </c>
      <c r="E32" s="24">
        <v>4000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f t="shared" si="5"/>
        <v>0</v>
      </c>
    </row>
    <row r="33" spans="3:18" x14ac:dyDescent="0.25">
      <c r="C33" s="5" t="s">
        <v>22</v>
      </c>
      <c r="D33" s="24">
        <v>700000</v>
      </c>
      <c r="E33" s="24">
        <v>563400</v>
      </c>
      <c r="F33" s="24">
        <v>0</v>
      </c>
      <c r="G33" s="24">
        <v>0</v>
      </c>
      <c r="H33" s="24">
        <v>0</v>
      </c>
      <c r="I33" s="24">
        <v>198633.65</v>
      </c>
      <c r="J33" s="24">
        <v>0</v>
      </c>
      <c r="K33" s="24">
        <v>0</v>
      </c>
      <c r="L33" s="24">
        <v>0</v>
      </c>
      <c r="M33" s="24">
        <v>134921.20000000001</v>
      </c>
      <c r="N33" s="24">
        <v>68149.16</v>
      </c>
      <c r="O33" s="24">
        <v>0</v>
      </c>
      <c r="P33" s="24">
        <v>0</v>
      </c>
      <c r="Q33" s="24">
        <v>0</v>
      </c>
      <c r="R33" s="24">
        <f t="shared" si="5"/>
        <v>401704.01</v>
      </c>
    </row>
    <row r="34" spans="3:18" x14ac:dyDescent="0.25">
      <c r="C34" s="5" t="s">
        <v>23</v>
      </c>
      <c r="D34" s="24">
        <v>119678</v>
      </c>
      <c r="E34" s="24">
        <v>399678</v>
      </c>
      <c r="F34" s="24">
        <v>0</v>
      </c>
      <c r="G34" s="24">
        <v>0</v>
      </c>
      <c r="H34" s="24">
        <v>0</v>
      </c>
      <c r="I34" s="24">
        <v>0</v>
      </c>
      <c r="J34" s="24">
        <v>3457.86</v>
      </c>
      <c r="K34" s="24">
        <v>908.6</v>
      </c>
      <c r="L34" s="24">
        <v>205320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f t="shared" si="5"/>
        <v>209686.46</v>
      </c>
    </row>
    <row r="35" spans="3:18" x14ac:dyDescent="0.25">
      <c r="C35" s="5" t="s">
        <v>24</v>
      </c>
      <c r="D35" s="24">
        <v>11100000</v>
      </c>
      <c r="E35" s="24">
        <v>11397200</v>
      </c>
      <c r="F35" s="24">
        <v>715604</v>
      </c>
      <c r="G35" s="24">
        <v>1907604</v>
      </c>
      <c r="H35" s="24">
        <v>0</v>
      </c>
      <c r="I35" s="24">
        <v>686600</v>
      </c>
      <c r="J35" s="24">
        <v>698600</v>
      </c>
      <c r="K35" s="24">
        <v>2011533.98</v>
      </c>
      <c r="L35" s="24">
        <f>705500+16794</f>
        <v>722294</v>
      </c>
      <c r="M35" s="24">
        <v>702500</v>
      </c>
      <c r="N35" s="24">
        <v>681804</v>
      </c>
      <c r="O35" s="24">
        <v>0</v>
      </c>
      <c r="P35" s="24">
        <f>1400000+99941.6</f>
        <v>1499941.6</v>
      </c>
      <c r="Q35" s="24">
        <v>0</v>
      </c>
      <c r="R35" s="24">
        <f t="shared" si="5"/>
        <v>9626481.5800000001</v>
      </c>
    </row>
    <row r="36" spans="3:18" x14ac:dyDescent="0.25">
      <c r="C36" s="5" t="s">
        <v>25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f t="shared" si="5"/>
        <v>0</v>
      </c>
    </row>
    <row r="37" spans="3:18" x14ac:dyDescent="0.25">
      <c r="C37" s="5" t="s">
        <v>26</v>
      </c>
      <c r="D37" s="24">
        <v>1900000</v>
      </c>
      <c r="E37" s="24">
        <v>2554170</v>
      </c>
      <c r="F37" s="24">
        <v>0</v>
      </c>
      <c r="G37" s="24">
        <f>23610.9+93261.3</f>
        <v>116872.20000000001</v>
      </c>
      <c r="H37" s="24">
        <v>0</v>
      </c>
      <c r="I37" s="24">
        <f>61505.73+19706</f>
        <v>81211.73000000001</v>
      </c>
      <c r="J37" s="24">
        <f>65466.4+11151+13715.99+163637.32</f>
        <v>253970.71000000002</v>
      </c>
      <c r="K37" s="24">
        <v>410845.51</v>
      </c>
      <c r="L37" s="24">
        <v>0</v>
      </c>
      <c r="M37" s="24">
        <v>166749.51999999999</v>
      </c>
      <c r="N37" s="24">
        <v>65898.039999999994</v>
      </c>
      <c r="O37" s="24">
        <v>5923.72</v>
      </c>
      <c r="P37" s="24">
        <f>17700+23128+450170</f>
        <v>490998</v>
      </c>
      <c r="Q37" s="24">
        <v>0</v>
      </c>
      <c r="R37" s="24">
        <f>SUM(F37:Q37)</f>
        <v>1592469.43</v>
      </c>
    </row>
    <row r="38" spans="3:18" x14ac:dyDescent="0.25">
      <c r="C38" s="3" t="s">
        <v>27</v>
      </c>
      <c r="D38" s="25">
        <f>D39</f>
        <v>50000</v>
      </c>
      <c r="E38" s="25">
        <f>E39</f>
        <v>50000</v>
      </c>
      <c r="F38" s="25">
        <f t="shared" ref="F38:R38" si="6">F39</f>
        <v>0</v>
      </c>
      <c r="G38" s="25">
        <f t="shared" si="6"/>
        <v>0</v>
      </c>
      <c r="H38" s="25">
        <f t="shared" si="6"/>
        <v>24000</v>
      </c>
      <c r="I38" s="25">
        <f t="shared" si="6"/>
        <v>0</v>
      </c>
      <c r="J38" s="25">
        <f t="shared" si="6"/>
        <v>0</v>
      </c>
      <c r="K38" s="25">
        <f t="shared" si="6"/>
        <v>0</v>
      </c>
      <c r="L38" s="25">
        <f t="shared" si="6"/>
        <v>0</v>
      </c>
      <c r="M38" s="25">
        <f t="shared" si="6"/>
        <v>0</v>
      </c>
      <c r="N38" s="25">
        <f t="shared" si="6"/>
        <v>0</v>
      </c>
      <c r="O38" s="25">
        <f t="shared" si="6"/>
        <v>0</v>
      </c>
      <c r="P38" s="25">
        <f t="shared" si="6"/>
        <v>0</v>
      </c>
      <c r="Q38" s="25">
        <f t="shared" si="6"/>
        <v>0</v>
      </c>
      <c r="R38" s="25">
        <f t="shared" si="6"/>
        <v>24000</v>
      </c>
    </row>
    <row r="39" spans="3:18" x14ac:dyDescent="0.25">
      <c r="C39" s="5" t="s">
        <v>28</v>
      </c>
      <c r="D39" s="24">
        <v>50000</v>
      </c>
      <c r="E39" s="24">
        <v>50000</v>
      </c>
      <c r="F39" s="24">
        <v>0</v>
      </c>
      <c r="G39" s="24">
        <v>0</v>
      </c>
      <c r="H39" s="24">
        <v>24000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f>SUM(F39:Q39)</f>
        <v>24000</v>
      </c>
    </row>
    <row r="40" spans="3:18" x14ac:dyDescent="0.25">
      <c r="C40" s="5" t="s">
        <v>29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3:18" x14ac:dyDescent="0.25">
      <c r="C41" s="5" t="s">
        <v>30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3:18" x14ac:dyDescent="0.25">
      <c r="C42" s="5" t="s">
        <v>31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3:18" x14ac:dyDescent="0.25">
      <c r="C43" s="5" t="s">
        <v>32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3:18" x14ac:dyDescent="0.25">
      <c r="C44" s="5" t="s">
        <v>33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3:18" x14ac:dyDescent="0.25">
      <c r="C45" s="5" t="s">
        <v>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3:18" x14ac:dyDescent="0.25">
      <c r="C46" s="5" t="s">
        <v>35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3:18" x14ac:dyDescent="0.25">
      <c r="C47" s="3" t="s">
        <v>36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3:18" x14ac:dyDescent="0.25">
      <c r="C48" s="5" t="s">
        <v>37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3:18" x14ac:dyDescent="0.25">
      <c r="C49" s="5" t="s">
        <v>38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3:18" x14ac:dyDescent="0.25">
      <c r="C50" s="5" t="s">
        <v>39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3:18" x14ac:dyDescent="0.25">
      <c r="C51" s="5" t="s">
        <v>40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3:18" x14ac:dyDescent="0.25">
      <c r="C52" s="5" t="s">
        <v>41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  <row r="53" spans="3:18" x14ac:dyDescent="0.25">
      <c r="C53" s="5" t="s">
        <v>42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</row>
    <row r="54" spans="3:18" x14ac:dyDescent="0.25">
      <c r="C54" s="3" t="s">
        <v>43</v>
      </c>
      <c r="D54" s="25">
        <f>D55+D58+D59</f>
        <v>3000000</v>
      </c>
      <c r="E54" s="25">
        <f>E55+E58+E59+E56+E62</f>
        <v>3000000</v>
      </c>
      <c r="F54" s="25">
        <f>F55+F58+F59</f>
        <v>0</v>
      </c>
      <c r="G54" s="25">
        <f>G55+G58+G59</f>
        <v>0</v>
      </c>
      <c r="H54" s="25">
        <f>H55+H58+H59</f>
        <v>0</v>
      </c>
      <c r="I54" s="25">
        <f>I55+I58+I59</f>
        <v>0</v>
      </c>
      <c r="J54" s="25">
        <f>J56+J55</f>
        <v>94532.61</v>
      </c>
      <c r="K54" s="25">
        <f t="shared" ref="K54:O54" si="7">K55+K58+K59</f>
        <v>40374.540000000008</v>
      </c>
      <c r="L54" s="25">
        <f t="shared" si="7"/>
        <v>0</v>
      </c>
      <c r="M54" s="25">
        <f t="shared" si="7"/>
        <v>125731.61</v>
      </c>
      <c r="N54" s="25">
        <f>N55+N58+N59+N56</f>
        <v>110936.52</v>
      </c>
      <c r="O54" s="25">
        <f t="shared" si="7"/>
        <v>95748.01</v>
      </c>
      <c r="P54" s="25">
        <f>P55+P58+P59+P56+P62</f>
        <v>66884</v>
      </c>
      <c r="Q54" s="25">
        <f>Q55+Q58+Q59+Q56</f>
        <v>0</v>
      </c>
      <c r="R54" s="25">
        <f>SUM(F54:Q54)</f>
        <v>534207.29</v>
      </c>
    </row>
    <row r="55" spans="3:18" x14ac:dyDescent="0.25">
      <c r="C55" s="5" t="s">
        <v>44</v>
      </c>
      <c r="D55" s="24">
        <v>1900000</v>
      </c>
      <c r="E55" s="24">
        <v>2335000</v>
      </c>
      <c r="F55" s="24">
        <v>0</v>
      </c>
      <c r="G55" s="24">
        <v>0</v>
      </c>
      <c r="H55" s="24">
        <v>0</v>
      </c>
      <c r="I55" s="24">
        <v>0</v>
      </c>
      <c r="J55" s="24">
        <f>52906+32726.61</f>
        <v>85632.61</v>
      </c>
      <c r="K55" s="24">
        <v>8685</v>
      </c>
      <c r="L55" s="24">
        <v>0</v>
      </c>
      <c r="M55" s="24">
        <v>125731.61</v>
      </c>
      <c r="N55" s="24">
        <v>0</v>
      </c>
      <c r="O55" s="24">
        <v>95748.01</v>
      </c>
      <c r="P55" s="24">
        <v>0</v>
      </c>
      <c r="Q55" s="24">
        <v>0</v>
      </c>
      <c r="R55" s="24">
        <f>SUM(F55:Q55)</f>
        <v>315797.23</v>
      </c>
    </row>
    <row r="56" spans="3:18" x14ac:dyDescent="0.25">
      <c r="C56" s="5" t="s">
        <v>45</v>
      </c>
      <c r="D56" s="24">
        <v>0</v>
      </c>
      <c r="E56" s="24">
        <v>168000</v>
      </c>
      <c r="F56" s="24">
        <v>0</v>
      </c>
      <c r="G56" s="24">
        <v>0</v>
      </c>
      <c r="H56" s="24">
        <v>0</v>
      </c>
      <c r="I56" s="24">
        <v>0</v>
      </c>
      <c r="J56" s="24">
        <v>8900</v>
      </c>
      <c r="K56" s="24">
        <v>0</v>
      </c>
      <c r="L56" s="24">
        <v>0</v>
      </c>
      <c r="M56" s="24">
        <v>0</v>
      </c>
      <c r="N56" s="24">
        <v>110936.52</v>
      </c>
      <c r="O56" s="24">
        <v>0</v>
      </c>
      <c r="P56" s="24">
        <v>32900</v>
      </c>
      <c r="Q56" s="24">
        <v>0</v>
      </c>
      <c r="R56" s="24">
        <f>SUM(F56:Q56)</f>
        <v>152736.52000000002</v>
      </c>
    </row>
    <row r="57" spans="3:18" x14ac:dyDescent="0.25">
      <c r="C57" s="5" t="s">
        <v>46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f t="shared" ref="R57:R59" si="8">SUM(F57:Q57)</f>
        <v>0</v>
      </c>
    </row>
    <row r="58" spans="3:18" x14ac:dyDescent="0.25">
      <c r="C58" s="5" t="s">
        <v>47</v>
      </c>
      <c r="D58" s="24">
        <v>0</v>
      </c>
      <c r="E58" s="24">
        <v>27000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26397.24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f t="shared" si="8"/>
        <v>26397.24</v>
      </c>
    </row>
    <row r="59" spans="3:18" x14ac:dyDescent="0.25">
      <c r="C59" s="5" t="s">
        <v>48</v>
      </c>
      <c r="D59" s="24">
        <v>1100000</v>
      </c>
      <c r="E59" s="24">
        <v>420000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5292.3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/>
      <c r="R59" s="24">
        <f t="shared" si="8"/>
        <v>5292.3</v>
      </c>
    </row>
    <row r="60" spans="3:18" x14ac:dyDescent="0.25">
      <c r="C60" s="5" t="s">
        <v>49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</row>
    <row r="61" spans="3:18" x14ac:dyDescent="0.25">
      <c r="C61" s="5" t="s">
        <v>50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3:18" x14ac:dyDescent="0.25">
      <c r="C62" s="5" t="s">
        <v>51</v>
      </c>
      <c r="D62" s="24">
        <v>0</v>
      </c>
      <c r="E62" s="24">
        <v>50000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33984</v>
      </c>
      <c r="Q62" s="24">
        <v>0</v>
      </c>
      <c r="R62" s="24">
        <v>0</v>
      </c>
    </row>
    <row r="63" spans="3:18" x14ac:dyDescent="0.25">
      <c r="C63" s="5" t="s">
        <v>52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</row>
    <row r="64" spans="3:18" x14ac:dyDescent="0.25">
      <c r="C64" s="3" t="s">
        <v>53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3:18" x14ac:dyDescent="0.25">
      <c r="C65" s="5" t="s">
        <v>54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</row>
    <row r="66" spans="3:18" x14ac:dyDescent="0.25">
      <c r="C66" s="5" t="s">
        <v>55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3:18" x14ac:dyDescent="0.25">
      <c r="C67" s="5" t="s">
        <v>56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</row>
    <row r="68" spans="3:18" x14ac:dyDescent="0.25">
      <c r="C68" s="5" t="s">
        <v>57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</row>
    <row r="69" spans="3:18" x14ac:dyDescent="0.25">
      <c r="C69" s="3" t="s">
        <v>58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5" t="s">
        <v>59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</row>
    <row r="71" spans="3:18" x14ac:dyDescent="0.25">
      <c r="C71" s="5" t="s">
        <v>60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3:18" x14ac:dyDescent="0.25">
      <c r="C72" s="3" t="s">
        <v>61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3:18" x14ac:dyDescent="0.25">
      <c r="C73" s="5" t="s">
        <v>62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</row>
    <row r="74" spans="3:18" x14ac:dyDescent="0.25">
      <c r="C74" s="5" t="s">
        <v>63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</row>
    <row r="75" spans="3:18" x14ac:dyDescent="0.25">
      <c r="C75" s="5" t="s">
        <v>64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</row>
    <row r="76" spans="3:18" x14ac:dyDescent="0.2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3:18" x14ac:dyDescent="0.25">
      <c r="C77" s="3" t="s">
        <v>68</v>
      </c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x14ac:dyDescent="0.25">
      <c r="C78" s="5" t="s">
        <v>69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</row>
    <row r="79" spans="3:18" x14ac:dyDescent="0.25">
      <c r="C79" s="5" t="s">
        <v>70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</row>
    <row r="80" spans="3:18" x14ac:dyDescent="0.25">
      <c r="C80" s="3" t="s">
        <v>71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5" t="s">
        <v>72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</row>
    <row r="84" spans="3:18" x14ac:dyDescent="0.25">
      <c r="C84" s="5" t="s">
        <v>75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28">
        <f>D54+D38+D28+D18+D12</f>
        <v>317021740</v>
      </c>
      <c r="E85" s="28">
        <f>E54+E38+E28+E18+E12</f>
        <v>331531740</v>
      </c>
      <c r="F85" s="28">
        <f t="shared" ref="F85:R85" si="9">F54+F38+F28+F18+F12</f>
        <v>21633205.310000002</v>
      </c>
      <c r="G85" s="28">
        <f t="shared" si="9"/>
        <v>20824345.340000004</v>
      </c>
      <c r="H85" s="28">
        <f t="shared" si="9"/>
        <v>24539426.48</v>
      </c>
      <c r="I85" s="28">
        <f t="shared" si="9"/>
        <v>23461468.329999998</v>
      </c>
      <c r="J85" s="28">
        <f t="shared" si="9"/>
        <v>33047756.050000001</v>
      </c>
      <c r="K85" s="28">
        <f t="shared" si="9"/>
        <v>25202494.369999997</v>
      </c>
      <c r="L85" s="28">
        <f t="shared" si="9"/>
        <v>22860437.009999998</v>
      </c>
      <c r="M85" s="28">
        <f t="shared" si="9"/>
        <v>22657354.092999998</v>
      </c>
      <c r="N85" s="28">
        <f t="shared" si="9"/>
        <v>22694397.009999998</v>
      </c>
      <c r="O85" s="28">
        <f t="shared" si="9"/>
        <v>34566439.890000001</v>
      </c>
      <c r="P85" s="28">
        <f t="shared" si="9"/>
        <v>38269557.840000004</v>
      </c>
      <c r="Q85" s="28">
        <f t="shared" si="9"/>
        <v>0</v>
      </c>
      <c r="R85" s="28">
        <f t="shared" si="9"/>
        <v>289756881.72299999</v>
      </c>
    </row>
    <row r="86" spans="3:18" x14ac:dyDescent="0.25">
      <c r="C86" s="37" t="s">
        <v>112</v>
      </c>
    </row>
    <row r="91" spans="3:18" ht="13.5" customHeight="1" x14ac:dyDescent="0.3">
      <c r="C91" s="31"/>
      <c r="D91" s="30"/>
      <c r="E91" s="30"/>
      <c r="F91" s="30"/>
      <c r="G91" s="31"/>
      <c r="H91" s="32"/>
      <c r="J91" s="33"/>
      <c r="K91" s="30"/>
    </row>
    <row r="92" spans="3:18" ht="36" customHeight="1" x14ac:dyDescent="0.25"/>
    <row r="93" spans="3:18" ht="18.75" x14ac:dyDescent="0.3">
      <c r="C93" s="31"/>
      <c r="D93" s="31" t="s">
        <v>101</v>
      </c>
      <c r="E93" s="30"/>
      <c r="F93" s="30"/>
      <c r="G93" s="30"/>
      <c r="H93" s="31" t="s">
        <v>102</v>
      </c>
      <c r="J93" s="32"/>
      <c r="L93" s="33"/>
      <c r="M93" s="30"/>
    </row>
    <row r="94" spans="3:18" ht="18.75" x14ac:dyDescent="0.3">
      <c r="C94" s="34"/>
      <c r="D94" s="34" t="s">
        <v>103</v>
      </c>
      <c r="E94" s="32"/>
      <c r="F94" s="30"/>
      <c r="G94" s="30"/>
      <c r="H94" s="34" t="s">
        <v>103</v>
      </c>
      <c r="J94" s="34"/>
      <c r="K94" s="30"/>
      <c r="L94" s="30"/>
      <c r="M94" s="30"/>
    </row>
    <row r="95" spans="3:18" ht="18.75" x14ac:dyDescent="0.3">
      <c r="C95" s="32"/>
      <c r="D95" s="32" t="s">
        <v>104</v>
      </c>
      <c r="E95" s="32"/>
      <c r="F95" s="30"/>
      <c r="G95" s="30"/>
      <c r="H95" s="32" t="s">
        <v>105</v>
      </c>
      <c r="I95" s="46" t="s">
        <v>107</v>
      </c>
      <c r="J95" s="46"/>
      <c r="K95" s="46"/>
      <c r="L95" s="46"/>
      <c r="M95" s="30"/>
    </row>
    <row r="96" spans="3:18" ht="18.75" x14ac:dyDescent="0.3">
      <c r="C96" s="32"/>
      <c r="D96" s="32" t="s">
        <v>106</v>
      </c>
      <c r="E96" s="32"/>
      <c r="F96" s="30"/>
      <c r="G96" s="30"/>
      <c r="H96" s="32" t="s">
        <v>108</v>
      </c>
      <c r="J96" s="32"/>
      <c r="K96" s="30"/>
      <c r="L96" s="30"/>
      <c r="M96" s="30"/>
    </row>
    <row r="97" spans="4:13" ht="18.75" x14ac:dyDescent="0.3">
      <c r="F97" s="30"/>
      <c r="G97" s="30"/>
      <c r="H97" s="30"/>
      <c r="J97" s="30"/>
      <c r="K97" s="30"/>
      <c r="L97" s="30"/>
      <c r="M97" s="30"/>
    </row>
    <row r="98" spans="4:13" ht="18.75" x14ac:dyDescent="0.25">
      <c r="D98" s="32"/>
    </row>
  </sheetData>
  <mergeCells count="10">
    <mergeCell ref="I95:L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abSelected="1" topLeftCell="A63" zoomScaleNormal="100" workbookViewId="0">
      <selection activeCell="L72" sqref="L72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1" customHeight="1" x14ac:dyDescent="0.25">
      <c r="A2" s="55" t="s">
        <v>111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ht="16.5" customHeight="1" x14ac:dyDescent="0.25">
      <c r="A3" s="57" t="s">
        <v>100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5" ht="10.5" customHeight="1" x14ac:dyDescent="0.25">
      <c r="A4" s="44">
        <v>2024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5" ht="15.75" customHeight="1" x14ac:dyDescent="0.25">
      <c r="A5" s="39" t="s">
        <v>92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5" ht="12.75" customHeight="1" x14ac:dyDescent="0.25">
      <c r="A6" s="40" t="s">
        <v>77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5" ht="5.25" customHeight="1" x14ac:dyDescent="0.25"/>
    <row r="8" spans="1:15" ht="33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14296930.99</v>
      </c>
      <c r="C10" s="25">
        <f t="shared" ref="C10:M10" si="0">C11+C12+C15</f>
        <v>14372212.879999999</v>
      </c>
      <c r="D10" s="25">
        <f t="shared" si="0"/>
        <v>15495728.01</v>
      </c>
      <c r="E10" s="25">
        <f t="shared" si="0"/>
        <v>14490865.289999999</v>
      </c>
      <c r="F10" s="25">
        <f t="shared" si="0"/>
        <v>26405869.960000001</v>
      </c>
      <c r="G10" s="25">
        <f t="shared" si="0"/>
        <v>14862186.59</v>
      </c>
      <c r="H10" s="25">
        <f t="shared" si="0"/>
        <v>14790923.1</v>
      </c>
      <c r="I10" s="25">
        <f>I11+I12+I15</f>
        <v>14902826.799999999</v>
      </c>
      <c r="J10" s="25">
        <f t="shared" si="0"/>
        <v>14468897.75</v>
      </c>
      <c r="K10" s="25">
        <f t="shared" si="0"/>
        <v>28762097.879999999</v>
      </c>
      <c r="L10" s="25">
        <f t="shared" si="0"/>
        <v>27504141.890000001</v>
      </c>
      <c r="M10" s="25">
        <f t="shared" si="0"/>
        <v>0</v>
      </c>
      <c r="N10" s="25">
        <f>SUM(B10:M10)</f>
        <v>200352681.13999999</v>
      </c>
    </row>
    <row r="11" spans="1:15" ht="17.25" customHeight="1" x14ac:dyDescent="0.25">
      <c r="A11" s="5" t="s">
        <v>2</v>
      </c>
      <c r="B11" s="24">
        <v>12143507.34</v>
      </c>
      <c r="C11" s="24">
        <v>12203807.09</v>
      </c>
      <c r="D11" s="24">
        <f>11075307.09+660500+918000+745846.78</f>
        <v>13399653.869999999</v>
      </c>
      <c r="E11" s="24">
        <v>12344243.439999999</v>
      </c>
      <c r="F11" s="24">
        <v>24314245.59</v>
      </c>
      <c r="G11" s="24">
        <f>11954420.44+490000+57750+179453.16</f>
        <v>12681623.6</v>
      </c>
      <c r="H11" s="24">
        <v>12593683.199999999</v>
      </c>
      <c r="I11" s="24">
        <v>12717348.529999999</v>
      </c>
      <c r="J11" s="24">
        <v>12326589.609999999</v>
      </c>
      <c r="K11" s="24">
        <f>12191064.61+67000+80011.66+1736224+352369.17</f>
        <v>14426669.439999999</v>
      </c>
      <c r="L11" s="24">
        <v>25338456.960000001</v>
      </c>
      <c r="M11" s="24">
        <v>0</v>
      </c>
      <c r="N11" s="24">
        <f>SUM(B11:M11)</f>
        <v>164489828.67000002</v>
      </c>
    </row>
    <row r="12" spans="1:15" ht="17.25" customHeight="1" x14ac:dyDescent="0.25">
      <c r="A12" s="5" t="s">
        <v>3</v>
      </c>
      <c r="B12" s="24">
        <v>333500</v>
      </c>
      <c r="C12" s="24">
        <v>333500</v>
      </c>
      <c r="D12" s="24">
        <v>333500</v>
      </c>
      <c r="E12" s="24">
        <v>333500</v>
      </c>
      <c r="F12" s="24">
        <v>308500</v>
      </c>
      <c r="G12" s="24">
        <v>308500</v>
      </c>
      <c r="H12" s="24">
        <v>333500</v>
      </c>
      <c r="I12" s="24">
        <v>333500</v>
      </c>
      <c r="J12" s="24">
        <v>288500</v>
      </c>
      <c r="K12" s="24">
        <f>313700+12178699.27</f>
        <v>12492399.27</v>
      </c>
      <c r="L12" s="24">
        <v>309500</v>
      </c>
      <c r="M12" s="24">
        <v>0</v>
      </c>
      <c r="N12" s="24">
        <f>SUM(B12:M12)</f>
        <v>15708399.27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1819923.65</v>
      </c>
      <c r="C15" s="24">
        <v>1834905.79</v>
      </c>
      <c r="D15" s="24">
        <f>825129.52+833242.3+104202.32</f>
        <v>1762574.1400000001</v>
      </c>
      <c r="E15" s="24">
        <v>1813121.85</v>
      </c>
      <c r="F15" s="24">
        <v>1783124.37</v>
      </c>
      <c r="G15" s="24">
        <f>876469.07+883553.85+112040.07</f>
        <v>1872062.99</v>
      </c>
      <c r="H15" s="24">
        <v>1863739.9</v>
      </c>
      <c r="I15" s="24">
        <v>1851978.27</v>
      </c>
      <c r="J15" s="24">
        <v>1853808.14</v>
      </c>
      <c r="K15" s="24">
        <f>862192.95+870322.58+110513.64</f>
        <v>1843029.1699999997</v>
      </c>
      <c r="L15" s="24">
        <v>1856184.93</v>
      </c>
      <c r="M15" s="24">
        <v>0</v>
      </c>
      <c r="N15" s="24">
        <f>SUM(B15:M15)</f>
        <v>20154453.199999999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6620670.3200000003</v>
      </c>
      <c r="C16" s="25">
        <f t="shared" si="1"/>
        <v>4391463.0600000005</v>
      </c>
      <c r="D16" s="25">
        <f t="shared" si="1"/>
        <v>8824323.0700000003</v>
      </c>
      <c r="E16" s="25">
        <f t="shared" si="1"/>
        <v>7688170.1600000001</v>
      </c>
      <c r="F16" s="25">
        <f t="shared" si="1"/>
        <v>5483939.25</v>
      </c>
      <c r="G16" s="25">
        <f>G17+G18+G19+G20+G21+G22+G23+G24+G25</f>
        <v>7848671.5499999998</v>
      </c>
      <c r="H16" s="25">
        <f t="shared" si="1"/>
        <v>7113597.3099999996</v>
      </c>
      <c r="I16" s="25">
        <f t="shared" si="1"/>
        <v>6608735.9600000009</v>
      </c>
      <c r="J16" s="25">
        <f>J17+J18+J19+J20+J21+J22+J23+J24+J25</f>
        <v>7080793.5300000003</v>
      </c>
      <c r="K16" s="25">
        <f t="shared" ref="K16" si="2">K17+K18+K19+K20+K21+K22+K23+K24</f>
        <v>5621676</v>
      </c>
      <c r="L16" s="25">
        <f>L17+L18+L19+L20+L21+L22+L23+L24+L25</f>
        <v>8704288.3499999996</v>
      </c>
      <c r="M16" s="25">
        <f>M17+M18+M19+M20+M21+M22+M23+M24+M25</f>
        <v>0</v>
      </c>
      <c r="N16" s="25">
        <f>N17+N18+N19+N20+N21+N22+N23+N24+N25</f>
        <v>75986328.559999987</v>
      </c>
    </row>
    <row r="17" spans="1:14" ht="17.25" customHeight="1" x14ac:dyDescent="0.25">
      <c r="A17" s="5" t="s">
        <v>8</v>
      </c>
      <c r="B17" s="24">
        <v>2305139.54</v>
      </c>
      <c r="C17" s="24">
        <v>2195976.98</v>
      </c>
      <c r="D17" s="24">
        <f>531894.62+219894.11+999645.05+574030.01</f>
        <v>2325463.79</v>
      </c>
      <c r="E17" s="24">
        <v>2291313.2000000002</v>
      </c>
      <c r="F17" s="24">
        <f>474796.68+207121.11+993058.71+598636.33</f>
        <v>2273612.83</v>
      </c>
      <c r="G17" s="24">
        <f>476705.04+203644.1+993567.39+621874.83</f>
        <v>2295791.36</v>
      </c>
      <c r="H17" s="24">
        <v>2182509.9300000002</v>
      </c>
      <c r="I17" s="24">
        <v>2344086.4900000002</v>
      </c>
      <c r="J17" s="24">
        <v>2228402.77</v>
      </c>
      <c r="K17" s="24">
        <f>42884.77+173908.96+940070.66+651179.05</f>
        <v>1808043.4400000002</v>
      </c>
      <c r="L17" s="24">
        <v>2039228.38</v>
      </c>
      <c r="M17" s="24">
        <v>0</v>
      </c>
      <c r="N17" s="24">
        <f>SUM(B17:M17)</f>
        <v>24289568.709999997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18585</v>
      </c>
      <c r="K18" s="24">
        <v>0</v>
      </c>
      <c r="L18" s="24">
        <v>0</v>
      </c>
      <c r="M18" s="24">
        <v>0</v>
      </c>
      <c r="N18" s="24">
        <f t="shared" ref="N18:N23" si="3">SUM(B18:M18)</f>
        <v>18585</v>
      </c>
    </row>
    <row r="19" spans="1:14" ht="17.25" customHeight="1" x14ac:dyDescent="0.25">
      <c r="A19" s="5" t="s">
        <v>10</v>
      </c>
      <c r="B19" s="24">
        <v>2686800</v>
      </c>
      <c r="C19" s="24">
        <v>1180200</v>
      </c>
      <c r="D19" s="24">
        <v>2909800</v>
      </c>
      <c r="E19" s="24">
        <v>1077200</v>
      </c>
      <c r="F19" s="24">
        <v>0</v>
      </c>
      <c r="G19" s="24">
        <v>0</v>
      </c>
      <c r="H19" s="24">
        <v>2028795</v>
      </c>
      <c r="I19" s="24">
        <v>0</v>
      </c>
      <c r="J19" s="24">
        <v>157200</v>
      </c>
      <c r="K19" s="24">
        <v>57600</v>
      </c>
      <c r="L19" s="24">
        <v>2311700</v>
      </c>
      <c r="M19" s="24">
        <v>0</v>
      </c>
      <c r="N19" s="24">
        <f t="shared" si="3"/>
        <v>12409295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13000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54000</v>
      </c>
      <c r="M20" s="24">
        <v>0</v>
      </c>
      <c r="N20" s="24">
        <f t="shared" si="3"/>
        <v>67000</v>
      </c>
    </row>
    <row r="21" spans="1:14" ht="17.25" customHeight="1" x14ac:dyDescent="0.25">
      <c r="A21" s="5" t="s">
        <v>12</v>
      </c>
      <c r="B21" s="24">
        <v>0</v>
      </c>
      <c r="C21" s="24">
        <v>217739.5</v>
      </c>
      <c r="D21" s="24">
        <f>2205964.26+76517.1</f>
        <v>2282481.36</v>
      </c>
      <c r="E21" s="24">
        <v>1670527.88</v>
      </c>
      <c r="F21" s="24">
        <v>1677826.33</v>
      </c>
      <c r="G21" s="24">
        <v>2950844.98</v>
      </c>
      <c r="H21" s="24">
        <v>1432364.98</v>
      </c>
      <c r="I21" s="24">
        <v>2307019.81</v>
      </c>
      <c r="J21" s="24">
        <v>2634129.5499999998</v>
      </c>
      <c r="K21" s="24">
        <f>1320514.55+84488</f>
        <v>1405002.55</v>
      </c>
      <c r="L21" s="24">
        <v>1734297.97</v>
      </c>
      <c r="M21" s="24">
        <v>0</v>
      </c>
      <c r="N21" s="24">
        <f t="shared" si="3"/>
        <v>18312234.91</v>
      </c>
    </row>
    <row r="22" spans="1:14" ht="17.25" customHeight="1" x14ac:dyDescent="0.25">
      <c r="A22" s="5" t="s">
        <v>13</v>
      </c>
      <c r="B22" s="24">
        <v>1346926.08</v>
      </c>
      <c r="C22" s="24">
        <v>588468.36</v>
      </c>
      <c r="D22" s="24">
        <v>978800.4</v>
      </c>
      <c r="E22" s="24">
        <v>1403825.58</v>
      </c>
      <c r="F22" s="24">
        <v>1336974.0900000001</v>
      </c>
      <c r="G22" s="24">
        <v>1105871.75</v>
      </c>
      <c r="H22" s="24">
        <v>1071583.1000000001</v>
      </c>
      <c r="I22" s="24">
        <v>1523758.37</v>
      </c>
      <c r="J22" s="24">
        <v>1475442.64</v>
      </c>
      <c r="K22" s="24">
        <v>1252702.54</v>
      </c>
      <c r="L22" s="24">
        <v>1225786.6399999999</v>
      </c>
      <c r="M22" s="24">
        <v>0</v>
      </c>
      <c r="N22" s="24">
        <f t="shared" si="3"/>
        <v>13310139.550000001</v>
      </c>
    </row>
    <row r="23" spans="1:14" ht="27" customHeight="1" x14ac:dyDescent="0.25">
      <c r="A23" s="29" t="s">
        <v>14</v>
      </c>
      <c r="B23" s="24">
        <v>0</v>
      </c>
      <c r="C23" s="24">
        <v>103701.86</v>
      </c>
      <c r="D23" s="24">
        <v>0</v>
      </c>
      <c r="E23" s="24">
        <v>308853.2</v>
      </c>
      <c r="F23" s="24">
        <v>10384</v>
      </c>
      <c r="G23" s="24">
        <f>498555.9+164413.33+155810.66</f>
        <v>818779.89</v>
      </c>
      <c r="H23" s="24">
        <v>57741.33</v>
      </c>
      <c r="I23" s="24">
        <v>57741.33</v>
      </c>
      <c r="J23" s="24">
        <v>322297.33</v>
      </c>
      <c r="K23" s="24">
        <f>160952+83347.33+41300</f>
        <v>285599.33</v>
      </c>
      <c r="L23" s="24">
        <v>385270</v>
      </c>
      <c r="M23" s="24">
        <v>0</v>
      </c>
      <c r="N23" s="24">
        <f t="shared" si="3"/>
        <v>2350368.2700000005</v>
      </c>
    </row>
    <row r="24" spans="1:14" ht="17.25" customHeight="1" x14ac:dyDescent="0.25">
      <c r="A24" s="5" t="s">
        <v>15</v>
      </c>
      <c r="B24" s="24">
        <v>0</v>
      </c>
      <c r="C24" s="24">
        <v>26786</v>
      </c>
      <c r="D24" s="24">
        <f>66000</f>
        <v>66000</v>
      </c>
      <c r="E24" s="24">
        <v>708000</v>
      </c>
      <c r="F24" s="24">
        <v>4602</v>
      </c>
      <c r="G24" s="24">
        <f>18408+303100</f>
        <v>321508</v>
      </c>
      <c r="H24" s="24">
        <v>8614</v>
      </c>
      <c r="I24" s="24">
        <v>125230</v>
      </c>
      <c r="J24" s="24">
        <v>30962.26</v>
      </c>
      <c r="K24" s="24">
        <v>812728.14</v>
      </c>
      <c r="L24" s="24">
        <v>489520</v>
      </c>
      <c r="M24" s="24">
        <v>0</v>
      </c>
      <c r="N24" s="24">
        <f>SUM(B24:M24)</f>
        <v>2593950.4</v>
      </c>
    </row>
    <row r="25" spans="1:14" ht="17.25" customHeight="1" x14ac:dyDescent="0.25">
      <c r="A25" s="5" t="s">
        <v>16</v>
      </c>
      <c r="B25" s="24">
        <v>281804.7</v>
      </c>
      <c r="C25" s="24">
        <v>78590.36</v>
      </c>
      <c r="D25" s="24">
        <f>261777.52</f>
        <v>261777.52</v>
      </c>
      <c r="E25" s="24">
        <v>215450.3</v>
      </c>
      <c r="F25" s="24">
        <v>180540</v>
      </c>
      <c r="G25" s="24">
        <f>15458+263339.97+77077.6</f>
        <v>355875.56999999995</v>
      </c>
      <c r="H25" s="24">
        <v>331988.96999999997</v>
      </c>
      <c r="I25" s="24">
        <v>250899.96</v>
      </c>
      <c r="J25" s="24">
        <v>213773.98</v>
      </c>
      <c r="K25" s="24">
        <v>0</v>
      </c>
      <c r="L25" s="24">
        <v>464485.36</v>
      </c>
      <c r="M25" s="24">
        <v>0</v>
      </c>
      <c r="N25" s="24">
        <f>SUM(B25:M25)</f>
        <v>2635186.7199999997</v>
      </c>
    </row>
    <row r="26" spans="1:14" ht="17.25" customHeight="1" x14ac:dyDescent="0.25">
      <c r="A26" s="3" t="s">
        <v>17</v>
      </c>
      <c r="B26" s="25">
        <f>B27+B28+B29+B30+B31+B32+B33</f>
        <v>715604</v>
      </c>
      <c r="C26" s="25">
        <f>C27+C28+C29+C30+C31+C32+C33+C35</f>
        <v>2060669.4</v>
      </c>
      <c r="D26" s="25">
        <f>D27+D28+D29+D30+D31+D32</f>
        <v>195375.4</v>
      </c>
      <c r="E26" s="25">
        <f>E27+E28+E29+E30+E31+E32+E35+E33</f>
        <v>1282432.8799999999</v>
      </c>
      <c r="F26" s="25">
        <f t="shared" ref="F26:N26" si="4">F27+F28+F29+F30+F31+F32+F33+F35</f>
        <v>1063414.23</v>
      </c>
      <c r="G26" s="25">
        <f t="shared" si="4"/>
        <v>2451261.69</v>
      </c>
      <c r="H26" s="25">
        <f t="shared" si="4"/>
        <v>955916.6</v>
      </c>
      <c r="I26" s="25">
        <f t="shared" si="4"/>
        <v>1020059.72</v>
      </c>
      <c r="J26" s="25">
        <f t="shared" si="4"/>
        <v>1033769.2100000001</v>
      </c>
      <c r="K26" s="25">
        <f t="shared" si="4"/>
        <v>86918</v>
      </c>
      <c r="L26" s="25">
        <f t="shared" si="4"/>
        <v>1994243.6</v>
      </c>
      <c r="M26" s="25">
        <f t="shared" si="4"/>
        <v>0</v>
      </c>
      <c r="N26" s="25">
        <f t="shared" si="4"/>
        <v>12859664.73</v>
      </c>
    </row>
    <row r="27" spans="1:14" ht="17.25" customHeight="1" x14ac:dyDescent="0.25">
      <c r="A27" s="5" t="s">
        <v>18</v>
      </c>
      <c r="B27" s="24">
        <v>0</v>
      </c>
      <c r="C27" s="24">
        <v>36193.199999999997</v>
      </c>
      <c r="D27" s="24">
        <f>11260</f>
        <v>11260</v>
      </c>
      <c r="E27" s="24">
        <v>97335.29</v>
      </c>
      <c r="F27" s="24">
        <v>107385.66</v>
      </c>
      <c r="G27" s="24">
        <f>11520+13003.6</f>
        <v>24523.599999999999</v>
      </c>
      <c r="H27" s="24">
        <v>28302.6</v>
      </c>
      <c r="I27" s="24">
        <v>15889</v>
      </c>
      <c r="J27" s="24">
        <v>104911.63</v>
      </c>
      <c r="K27" s="24">
        <v>20700</v>
      </c>
      <c r="L27" s="24">
        <v>3304</v>
      </c>
      <c r="M27" s="24">
        <v>0</v>
      </c>
      <c r="N27" s="24">
        <f t="shared" ref="N27:N37" si="5">SUM(B27:M27)</f>
        <v>449804.98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184115.4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5"/>
        <v>184115.4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218652.21</v>
      </c>
      <c r="F29" s="24">
        <v>0</v>
      </c>
      <c r="G29" s="24">
        <v>3450</v>
      </c>
      <c r="H29" s="24">
        <v>0</v>
      </c>
      <c r="I29" s="24">
        <v>0</v>
      </c>
      <c r="J29" s="24">
        <v>113006.38</v>
      </c>
      <c r="K29" s="24">
        <f>52269.28+8025</f>
        <v>60294.28</v>
      </c>
      <c r="L29" s="24">
        <v>0</v>
      </c>
      <c r="M29" s="24">
        <v>0</v>
      </c>
      <c r="N29" s="24">
        <f t="shared" si="5"/>
        <v>395402.87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198633.65</v>
      </c>
      <c r="F31" s="24">
        <v>0</v>
      </c>
      <c r="G31" s="24">
        <v>0</v>
      </c>
      <c r="H31" s="24">
        <v>0</v>
      </c>
      <c r="I31" s="24">
        <v>134921.20000000001</v>
      </c>
      <c r="J31" s="24">
        <v>68149.16</v>
      </c>
      <c r="K31" s="24">
        <v>0</v>
      </c>
      <c r="L31" s="24">
        <v>0</v>
      </c>
      <c r="M31" s="24">
        <v>0</v>
      </c>
      <c r="N31" s="24">
        <f t="shared" si="5"/>
        <v>401704.01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3457.86</v>
      </c>
      <c r="G32" s="24">
        <v>908.6</v>
      </c>
      <c r="H32" s="24">
        <v>205320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209686.46</v>
      </c>
    </row>
    <row r="33" spans="1:14" ht="17.25" customHeight="1" x14ac:dyDescent="0.25">
      <c r="A33" s="5" t="s">
        <v>24</v>
      </c>
      <c r="B33" s="24">
        <v>715604</v>
      </c>
      <c r="C33" s="24">
        <v>1907604</v>
      </c>
      <c r="D33" s="24">
        <v>0</v>
      </c>
      <c r="E33" s="24">
        <v>686600</v>
      </c>
      <c r="F33" s="24">
        <v>698600</v>
      </c>
      <c r="G33" s="24">
        <f>1696600+196900+102494.8+15539.18</f>
        <v>2011533.98</v>
      </c>
      <c r="H33" s="24">
        <v>722294</v>
      </c>
      <c r="I33" s="24">
        <v>702500</v>
      </c>
      <c r="J33" s="24">
        <v>681804</v>
      </c>
      <c r="K33" s="24">
        <v>0</v>
      </c>
      <c r="L33" s="24">
        <v>1499941.6</v>
      </c>
      <c r="M33" s="24">
        <v>0</v>
      </c>
      <c r="N33" s="24">
        <f t="shared" si="5"/>
        <v>9626481.5800000001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116872.2</v>
      </c>
      <c r="D35" s="24">
        <v>0</v>
      </c>
      <c r="E35" s="24">
        <v>81211.73</v>
      </c>
      <c r="F35" s="24">
        <v>253970.71</v>
      </c>
      <c r="G35" s="24">
        <f>66759.67+211591.35+98395.83+30798+3300.66</f>
        <v>410845.51</v>
      </c>
      <c r="H35" s="24">
        <v>0</v>
      </c>
      <c r="I35" s="24">
        <v>166749.51999999999</v>
      </c>
      <c r="J35" s="24">
        <v>65898.039999999994</v>
      </c>
      <c r="K35" s="24">
        <f>4153.72+1770</f>
        <v>5923.72</v>
      </c>
      <c r="L35" s="24">
        <v>490998</v>
      </c>
      <c r="M35" s="24">
        <v>0</v>
      </c>
      <c r="N35" s="24">
        <f t="shared" si="5"/>
        <v>1592469.43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94532.61</v>
      </c>
      <c r="G52" s="25">
        <f>G54+G53+G56+G57</f>
        <v>40374.540000000008</v>
      </c>
      <c r="H52" s="25">
        <f>H53+H57</f>
        <v>0</v>
      </c>
      <c r="I52" s="25">
        <f>I53</f>
        <v>125731.61</v>
      </c>
      <c r="J52" s="25">
        <f>J53+J54</f>
        <v>110936.52</v>
      </c>
      <c r="K52" s="25">
        <f>K53</f>
        <v>95748.01</v>
      </c>
      <c r="L52" s="25">
        <f>L55+L60</f>
        <v>66884</v>
      </c>
      <c r="M52" s="25">
        <f>M53+M54+M57</f>
        <v>0</v>
      </c>
      <c r="N52" s="25">
        <f t="shared" ref="N52:N57" si="8">SUM(B52:M52)</f>
        <v>534207.29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85632.61</v>
      </c>
      <c r="G53" s="24">
        <v>8685</v>
      </c>
      <c r="H53" s="24">
        <v>0</v>
      </c>
      <c r="I53" s="24">
        <v>125731.61</v>
      </c>
      <c r="J53" s="24">
        <v>0</v>
      </c>
      <c r="K53" s="24">
        <v>95748.01</v>
      </c>
      <c r="L53" s="24">
        <v>0</v>
      </c>
      <c r="M53" s="24">
        <v>0</v>
      </c>
      <c r="N53" s="24">
        <f t="shared" si="8"/>
        <v>315797.23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8900</v>
      </c>
      <c r="G54" s="24">
        <v>0</v>
      </c>
      <c r="H54" s="24">
        <v>0</v>
      </c>
      <c r="I54" s="24">
        <v>0</v>
      </c>
      <c r="J54" s="24">
        <v>110936.52</v>
      </c>
      <c r="K54" s="24">
        <v>0</v>
      </c>
      <c r="L54" s="24">
        <v>0</v>
      </c>
      <c r="M54" s="24">
        <v>0</v>
      </c>
      <c r="N54" s="24">
        <f t="shared" si="8"/>
        <v>119836.52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32900</v>
      </c>
      <c r="M55" s="24">
        <v>0</v>
      </c>
      <c r="N55" s="24">
        <f t="shared" si="8"/>
        <v>32900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26397.24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26397.24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5292.3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 t="shared" si="8"/>
        <v>5292.3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33984</v>
      </c>
      <c r="M60" s="24">
        <v>0</v>
      </c>
      <c r="N60" s="24">
        <f t="shared" si="9"/>
        <v>33984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21633205.310000002</v>
      </c>
      <c r="C83" s="26">
        <f>C52+C16+C10+C26</f>
        <v>20824345.339999996</v>
      </c>
      <c r="D83" s="26">
        <f>D52+D16+D10+D26+D36</f>
        <v>24539426.479999997</v>
      </c>
      <c r="E83" s="26">
        <f>E52+E16+E10+E26</f>
        <v>23461468.329999998</v>
      </c>
      <c r="F83" s="26">
        <f>F52+F16+F10+F26</f>
        <v>33047756.050000001</v>
      </c>
      <c r="G83" s="26">
        <f>G52+G16+G10+G26</f>
        <v>25202494.370000001</v>
      </c>
      <c r="H83" s="26">
        <f>H52+H16+H10+H26</f>
        <v>22860437.010000002</v>
      </c>
      <c r="I83" s="26">
        <f>I52+I26+I16+I10</f>
        <v>22657354.09</v>
      </c>
      <c r="J83" s="26">
        <f>J52+J26+J16+J10</f>
        <v>22694397.009999998</v>
      </c>
      <c r="K83" s="26">
        <f>K52+K16+K10+K26</f>
        <v>34566439.890000001</v>
      </c>
      <c r="L83" s="26">
        <f>L52+L16+L10+L26</f>
        <v>38269557.840000004</v>
      </c>
      <c r="M83" s="26">
        <f>M10+M16+M52+M26</f>
        <v>0</v>
      </c>
      <c r="N83" s="26">
        <f>N52+N26+N16+N10+N36</f>
        <v>289756881.71999997</v>
      </c>
    </row>
    <row r="84" spans="1:14" x14ac:dyDescent="0.25">
      <c r="A84" s="37" t="s">
        <v>112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s="54" customFormat="1" ht="18.75" x14ac:dyDescent="0.3">
      <c r="A89" s="31" t="s">
        <v>106</v>
      </c>
      <c r="B89" s="31"/>
      <c r="C89" s="30"/>
      <c r="D89" s="30"/>
      <c r="E89" s="31" t="s">
        <v>110</v>
      </c>
      <c r="G89" s="31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35433070866141736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2024-12-05T19:41:26Z</cp:lastPrinted>
  <dcterms:created xsi:type="dcterms:W3CDTF">2021-07-29T18:58:50Z</dcterms:created>
  <dcterms:modified xsi:type="dcterms:W3CDTF">2024-12-05T19:43:06Z</dcterms:modified>
</cp:coreProperties>
</file>