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Z:\Paula Guillen\Humberto Mendez\PACC 2025\"/>
    </mc:Choice>
  </mc:AlternateContent>
  <xr:revisionPtr revIDLastSave="0" documentId="13_ncr:1_{8908668A-D6C0-4562-8961-48DD1545B885}" xr6:coauthVersionLast="47" xr6:coauthVersionMax="47" xr10:uidLastSave="{00000000-0000-0000-0000-000000000000}"/>
  <bookViews>
    <workbookView xWindow="-120" yWindow="-120" windowWidth="29040" windowHeight="15840" xr2:uid="{EFD6ADC4-8256-4F4C-9E07-60FF98B3C0A7}"/>
  </bookViews>
  <sheets>
    <sheet name="Sheet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Sheet1!$E:$E</definedName>
    <definedName name="TotalEstColumnValue">Sheet1!$F:$F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7" i="1" l="1"/>
  <c r="C866" i="1"/>
  <c r="C865" i="1"/>
  <c r="C862" i="1"/>
  <c r="C860" i="1"/>
  <c r="C854" i="1"/>
  <c r="C853" i="1"/>
  <c r="C852" i="1"/>
  <c r="C851" i="1"/>
  <c r="C850" i="1"/>
  <c r="C849" i="1"/>
  <c r="C848" i="1"/>
  <c r="C847" i="1"/>
  <c r="C846" i="1"/>
  <c r="C845" i="1"/>
  <c r="C844" i="1"/>
  <c r="C843" i="1"/>
  <c r="C842" i="1"/>
  <c r="C841" i="1"/>
  <c r="C838" i="1"/>
  <c r="C836" i="1"/>
  <c r="C830" i="1"/>
  <c r="C827" i="1"/>
  <c r="C825" i="1"/>
  <c r="C819" i="1"/>
  <c r="C816" i="1"/>
  <c r="C814" i="1"/>
  <c r="C808" i="1"/>
  <c r="C807" i="1"/>
  <c r="C806" i="1"/>
  <c r="C805" i="1"/>
  <c r="C804" i="1"/>
  <c r="C803" i="1"/>
  <c r="C800" i="1"/>
  <c r="C798" i="1"/>
  <c r="C792" i="1"/>
  <c r="C791" i="1"/>
  <c r="C788" i="1"/>
  <c r="C786" i="1"/>
  <c r="C780" i="1"/>
  <c r="C779" i="1"/>
  <c r="C778" i="1"/>
  <c r="C777" i="1"/>
  <c r="C776" i="1"/>
  <c r="C775" i="1"/>
  <c r="C774" i="1"/>
  <c r="C773" i="1"/>
  <c r="C772" i="1"/>
  <c r="C771" i="1"/>
  <c r="C770" i="1"/>
  <c r="C769" i="1"/>
  <c r="C768" i="1"/>
  <c r="C767" i="1"/>
  <c r="C764" i="1"/>
  <c r="C762" i="1"/>
  <c r="C756" i="1"/>
  <c r="C755" i="1"/>
  <c r="C752" i="1"/>
  <c r="C750" i="1"/>
  <c r="C744" i="1"/>
  <c r="C743" i="1"/>
  <c r="C740" i="1"/>
  <c r="C738" i="1"/>
  <c r="C732" i="1"/>
  <c r="C731" i="1"/>
  <c r="C730" i="1"/>
  <c r="C727" i="1"/>
  <c r="C725"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4" i="1"/>
  <c r="C622" i="1"/>
  <c r="C616" i="1"/>
  <c r="C613" i="1"/>
  <c r="C611" i="1"/>
  <c r="C605" i="1"/>
  <c r="C602" i="1"/>
  <c r="C600" i="1"/>
  <c r="C594" i="1"/>
  <c r="C593" i="1"/>
  <c r="C592" i="1"/>
  <c r="C591" i="1"/>
  <c r="C588" i="1"/>
  <c r="C586" i="1"/>
  <c r="C580" i="1"/>
  <c r="C579" i="1"/>
  <c r="C578" i="1"/>
  <c r="C577" i="1"/>
  <c r="C576" i="1"/>
  <c r="C575" i="1"/>
  <c r="C574" i="1"/>
  <c r="C573" i="1"/>
  <c r="C572" i="1"/>
  <c r="C571" i="1"/>
  <c r="C570" i="1"/>
  <c r="C569" i="1"/>
  <c r="C568" i="1"/>
  <c r="C567" i="1"/>
  <c r="C566" i="1"/>
  <c r="C565" i="1"/>
  <c r="C562" i="1"/>
  <c r="C560" i="1"/>
  <c r="C554" i="1"/>
  <c r="C553" i="1"/>
  <c r="C552" i="1"/>
  <c r="C551" i="1"/>
  <c r="C550" i="1"/>
  <c r="C549" i="1"/>
  <c r="C548" i="1"/>
  <c r="C547" i="1"/>
  <c r="C546" i="1"/>
  <c r="C545" i="1"/>
  <c r="C544" i="1"/>
  <c r="C541" i="1"/>
  <c r="C539" i="1"/>
  <c r="C533" i="1"/>
  <c r="C532" i="1"/>
  <c r="C529" i="1"/>
  <c r="C527" i="1"/>
  <c r="C521" i="1"/>
  <c r="C518" i="1"/>
  <c r="C516" i="1"/>
  <c r="C510" i="1"/>
  <c r="C507" i="1"/>
  <c r="C505" i="1"/>
  <c r="C499" i="1"/>
  <c r="C496" i="1"/>
  <c r="C494" i="1"/>
  <c r="C488" i="1"/>
  <c r="C485" i="1"/>
  <c r="C483" i="1"/>
  <c r="C477" i="1"/>
  <c r="C474" i="1"/>
  <c r="C472" i="1"/>
  <c r="C466" i="1"/>
  <c r="C463" i="1"/>
  <c r="C461" i="1"/>
  <c r="C455" i="1"/>
  <c r="C454" i="1"/>
  <c r="C451" i="1"/>
  <c r="C449" i="1"/>
  <c r="C443" i="1"/>
  <c r="C440" i="1"/>
  <c r="C438" i="1"/>
  <c r="C432" i="1"/>
  <c r="C431" i="1"/>
  <c r="C430" i="1"/>
  <c r="C429" i="1"/>
  <c r="C426" i="1"/>
  <c r="C424" i="1"/>
  <c r="C418" i="1"/>
  <c r="C417" i="1"/>
  <c r="C416" i="1"/>
  <c r="C415" i="1"/>
  <c r="C414" i="1"/>
  <c r="C413" i="1"/>
  <c r="C412" i="1"/>
  <c r="C411" i="1"/>
  <c r="C410" i="1"/>
  <c r="C409" i="1"/>
  <c r="C408" i="1"/>
  <c r="C407" i="1"/>
  <c r="C406" i="1"/>
  <c r="C403" i="1"/>
  <c r="C401" i="1"/>
  <c r="C395" i="1"/>
  <c r="C394" i="1"/>
  <c r="C393" i="1"/>
  <c r="C392" i="1"/>
  <c r="C391" i="1"/>
  <c r="C390" i="1"/>
  <c r="C389" i="1"/>
  <c r="C388" i="1"/>
  <c r="C385" i="1"/>
  <c r="C383" i="1"/>
  <c r="C377" i="1"/>
  <c r="C376" i="1"/>
  <c r="C373" i="1"/>
  <c r="C371" i="1"/>
  <c r="C365" i="1"/>
  <c r="C362" i="1"/>
  <c r="C360" i="1"/>
  <c r="C354" i="1"/>
  <c r="C351" i="1"/>
  <c r="C349" i="1"/>
  <c r="C343" i="1"/>
  <c r="C342" i="1"/>
  <c r="C341" i="1"/>
  <c r="C338" i="1"/>
  <c r="C336" i="1"/>
  <c r="C330" i="1"/>
  <c r="C329" i="1"/>
  <c r="C328" i="1"/>
  <c r="C327" i="1"/>
  <c r="C324" i="1"/>
  <c r="C322" i="1"/>
  <c r="C316" i="1"/>
  <c r="C315" i="1"/>
  <c r="C314" i="1"/>
  <c r="C313" i="1"/>
  <c r="C312" i="1"/>
  <c r="C311" i="1"/>
  <c r="C310" i="1"/>
  <c r="C309" i="1"/>
  <c r="C308" i="1"/>
  <c r="C307" i="1"/>
  <c r="C306" i="1"/>
  <c r="C305" i="1"/>
  <c r="C304" i="1"/>
  <c r="C303" i="1"/>
  <c r="C302" i="1"/>
  <c r="C301" i="1"/>
  <c r="C300" i="1"/>
  <c r="C299" i="1"/>
  <c r="C296" i="1"/>
  <c r="C294" i="1"/>
  <c r="C288" i="1"/>
  <c r="C285" i="1"/>
  <c r="C283" i="1"/>
  <c r="C277" i="1"/>
  <c r="C274" i="1"/>
  <c r="C272" i="1"/>
  <c r="C266" i="1"/>
  <c r="C263" i="1"/>
  <c r="C261" i="1"/>
  <c r="C255" i="1"/>
  <c r="C252" i="1"/>
  <c r="C250" i="1"/>
  <c r="C244" i="1"/>
  <c r="C243" i="1"/>
  <c r="C242" i="1"/>
  <c r="C241" i="1"/>
  <c r="C240" i="1"/>
  <c r="C237" i="1"/>
  <c r="C235" i="1"/>
  <c r="C229" i="1"/>
  <c r="C228" i="1"/>
  <c r="C227" i="1"/>
  <c r="C226" i="1"/>
  <c r="C225" i="1"/>
  <c r="C224" i="1"/>
  <c r="C221" i="1"/>
  <c r="C219" i="1"/>
  <c r="C213" i="1"/>
  <c r="C212" i="1"/>
  <c r="C209" i="1"/>
  <c r="C207" i="1"/>
  <c r="C201" i="1"/>
  <c r="C200" i="1"/>
  <c r="C199" i="1"/>
  <c r="C198" i="1"/>
  <c r="C197" i="1"/>
  <c r="C196" i="1"/>
  <c r="C195" i="1"/>
  <c r="C192" i="1"/>
  <c r="C190" i="1"/>
  <c r="C184" i="1"/>
  <c r="C183" i="1"/>
  <c r="C180" i="1"/>
  <c r="C178" i="1"/>
  <c r="C172" i="1"/>
  <c r="C171" i="1"/>
  <c r="C168" i="1"/>
  <c r="C166" i="1"/>
  <c r="C160" i="1"/>
  <c r="C157" i="1"/>
  <c r="C155" i="1"/>
  <c r="C149" i="1"/>
  <c r="C146" i="1"/>
  <c r="C144" i="1"/>
  <c r="C138" i="1"/>
  <c r="C137" i="1"/>
  <c r="C136" i="1"/>
  <c r="C135" i="1"/>
  <c r="C134" i="1"/>
  <c r="C133" i="1"/>
  <c r="C130" i="1"/>
  <c r="C128" i="1"/>
  <c r="C122" i="1"/>
  <c r="C119" i="1"/>
  <c r="C117" i="1"/>
  <c r="C111" i="1"/>
  <c r="C110" i="1"/>
  <c r="C109" i="1"/>
  <c r="C106" i="1"/>
  <c r="C104" i="1"/>
  <c r="C98" i="1"/>
  <c r="C97" i="1"/>
  <c r="C94" i="1"/>
  <c r="C92" i="1"/>
  <c r="C86" i="1"/>
  <c r="C83" i="1"/>
  <c r="C81" i="1"/>
  <c r="C75" i="1"/>
  <c r="C74" i="1"/>
  <c r="C73" i="1"/>
  <c r="C72" i="1"/>
  <c r="C69" i="1"/>
  <c r="C67" i="1"/>
  <c r="C61" i="1"/>
  <c r="C60" i="1"/>
  <c r="C57" i="1"/>
  <c r="C55" i="1"/>
  <c r="C49" i="1"/>
  <c r="C48" i="1"/>
  <c r="C47" i="1"/>
  <c r="C46" i="1"/>
  <c r="C43" i="1"/>
  <c r="C41" i="1"/>
  <c r="C35" i="1"/>
  <c r="C34" i="1"/>
  <c r="C31" i="1"/>
  <c r="C29" i="1"/>
  <c r="C23" i="1"/>
  <c r="C20" i="1"/>
  <c r="C18" i="1"/>
  <c r="B3" i="1"/>
  <c r="B693" i="1"/>
  <c r="F415" i="1"/>
  <c r="B778" i="1"/>
  <c r="F580" i="1"/>
  <c r="F389" i="1"/>
  <c r="B671" i="1"/>
  <c r="B343" i="1"/>
  <c r="F854" i="1"/>
  <c r="F638" i="1"/>
  <c r="F198" i="1"/>
  <c r="B697" i="1"/>
  <c r="B377" i="1"/>
  <c r="B75" i="1"/>
  <c r="B654" i="1"/>
  <c r="F376" i="1"/>
  <c r="B771" i="1"/>
  <c r="F573" i="1"/>
  <c r="B744" i="1"/>
  <c r="F554" i="1"/>
  <c r="B136" i="1"/>
  <c r="B701" i="1"/>
  <c r="B413" i="1"/>
  <c r="F47" i="1"/>
  <c r="F756" i="1"/>
  <c r="F548" i="1"/>
  <c r="B635" i="1"/>
  <c r="F769" i="1"/>
  <c r="F553" i="1"/>
  <c r="F302" i="1"/>
  <c r="F710" i="1"/>
  <c r="F406" i="1"/>
  <c r="F779" i="1"/>
  <c r="B553" i="1"/>
  <c r="B499" i="1"/>
  <c r="F672" i="1"/>
  <c r="F288" i="1"/>
  <c r="B699" i="1"/>
  <c r="B544" i="1"/>
  <c r="F407" i="1"/>
  <c r="B730" i="1"/>
  <c r="F565" i="1"/>
  <c r="F521" i="1"/>
  <c r="B228" i="1"/>
  <c r="B769" i="1"/>
  <c r="B768" i="1"/>
  <c r="F240" i="1"/>
  <c r="F700" i="1"/>
  <c r="B407" i="1"/>
  <c r="F86" i="1"/>
  <c r="F640" i="1"/>
  <c r="B242" i="1"/>
  <c r="B774" i="1"/>
  <c r="B406" i="1"/>
  <c r="B34" i="1"/>
  <c r="F392" i="1"/>
  <c r="F377" i="1"/>
  <c r="B568" i="1"/>
  <c r="F819" i="1"/>
  <c r="F687" i="1"/>
  <c r="F391" i="1"/>
  <c r="F772" i="1"/>
  <c r="B570" i="1"/>
  <c r="B299" i="1"/>
  <c r="F665" i="1"/>
  <c r="F329" i="1"/>
  <c r="B844" i="1"/>
  <c r="B628" i="1"/>
  <c r="B172" i="1"/>
  <c r="F691" i="1"/>
  <c r="B329" i="1"/>
  <c r="B288" i="1"/>
  <c r="F648" i="1"/>
  <c r="B342" i="1"/>
  <c r="B731" i="1"/>
  <c r="F549" i="1"/>
  <c r="F730" i="1"/>
  <c r="F122" i="1"/>
  <c r="F695" i="1"/>
  <c r="B122" i="1"/>
  <c r="B466" i="1"/>
  <c r="B743" i="1"/>
  <c r="B700" i="1"/>
  <c r="B388" i="1"/>
  <c r="F547" i="1"/>
  <c r="B662" i="1"/>
  <c r="B683" i="1"/>
  <c r="B695" i="1"/>
  <c r="B705" i="1"/>
  <c r="B227" i="1"/>
  <c r="B255" i="1"/>
  <c r="F845" i="1"/>
  <c r="B779" i="1"/>
  <c r="F841" i="1"/>
  <c r="B694" i="1"/>
  <c r="F266" i="1"/>
  <c r="F711" i="1"/>
  <c r="F571" i="1"/>
  <c r="B677" i="1"/>
  <c r="B365" i="1"/>
  <c r="F732" i="1"/>
  <c r="B546" i="1"/>
  <c r="B243" i="1"/>
  <c r="B655" i="1"/>
  <c r="B311" i="1"/>
  <c r="F830" i="1"/>
  <c r="B580" i="1"/>
  <c r="F110" i="1"/>
  <c r="B681" i="1"/>
  <c r="F315" i="1"/>
  <c r="B854" i="1"/>
  <c r="B638" i="1"/>
  <c r="F328" i="1"/>
  <c r="F717" i="1"/>
  <c r="F413" i="1"/>
  <c r="B712" i="1"/>
  <c r="B488" i="1"/>
  <c r="F74" i="1"/>
  <c r="B685" i="1"/>
  <c r="B389" i="1"/>
  <c r="F60" i="1"/>
  <c r="F716" i="1"/>
  <c r="B418" i="1"/>
  <c r="F533" i="1"/>
  <c r="B711" i="1"/>
  <c r="B431" i="1"/>
  <c r="F46" i="1"/>
  <c r="F694" i="1"/>
  <c r="B308" i="1"/>
  <c r="F755" i="1"/>
  <c r="B521" i="1"/>
  <c r="B688" i="1"/>
  <c r="F656" i="1"/>
  <c r="F200" i="1"/>
  <c r="B667" i="1"/>
  <c r="F708" i="1"/>
  <c r="F225" i="1"/>
  <c r="F550" i="1"/>
  <c r="F61" i="1"/>
  <c r="F299" i="1"/>
  <c r="F592" i="1"/>
  <c r="F701" i="1"/>
  <c r="F341" i="1"/>
  <c r="B432" i="1"/>
  <c r="B669" i="1"/>
  <c r="B394" i="1"/>
  <c r="F682" i="1"/>
  <c r="F443" i="1"/>
  <c r="B134" i="1"/>
  <c r="F657" i="1"/>
  <c r="F552" i="1"/>
  <c r="B201" i="1"/>
  <c r="B135" i="1"/>
  <c r="B73" i="1"/>
  <c r="F109" i="1"/>
  <c r="F770" i="1"/>
  <c r="B775" i="1"/>
  <c r="F671" i="1"/>
  <c r="F343" i="1"/>
  <c r="B714" i="1"/>
  <c r="F532" i="1"/>
  <c r="B35" i="1"/>
  <c r="F649" i="1"/>
  <c r="F305" i="1"/>
  <c r="B804" i="1"/>
  <c r="F574" i="1"/>
  <c r="B171" i="1"/>
  <c r="F675" i="1"/>
  <c r="B305" i="1"/>
  <c r="F848" i="1"/>
  <c r="F632" i="1"/>
  <c r="B310" i="1"/>
  <c r="B707" i="1"/>
  <c r="B395" i="1"/>
  <c r="F706" i="1"/>
  <c r="F466" i="1"/>
  <c r="B48" i="1"/>
  <c r="F679" i="1"/>
  <c r="B341" i="1"/>
  <c r="F693" i="1"/>
  <c r="B706" i="1"/>
  <c r="F412" i="1"/>
  <c r="B443" i="1"/>
  <c r="F705" i="1"/>
  <c r="F417" i="1"/>
  <c r="F714" i="1"/>
  <c r="B684" i="1"/>
  <c r="F134" i="1"/>
  <c r="F715" i="1"/>
  <c r="F499" i="1"/>
  <c r="F650" i="1"/>
  <c r="B646" i="1"/>
  <c r="F160" i="1"/>
  <c r="B571" i="1"/>
  <c r="F311" i="1"/>
  <c r="B410" i="1"/>
  <c r="F133" i="1"/>
  <c r="B639" i="1"/>
  <c r="B772" i="1"/>
  <c r="B665" i="1"/>
  <c r="B830" i="1"/>
  <c r="F304" i="1"/>
  <c r="B696" i="1"/>
  <c r="F34" i="1"/>
  <c r="F327" i="1"/>
  <c r="F629" i="1"/>
  <c r="F301" i="1"/>
  <c r="F678" i="1"/>
  <c r="F594" i="1"/>
  <c r="B229" i="1"/>
  <c r="F365" i="1"/>
  <c r="B641" i="1"/>
  <c r="B578" i="1"/>
  <c r="F804" i="1"/>
  <c r="B390" i="1"/>
  <c r="B716" i="1"/>
  <c r="B661" i="1"/>
  <c r="F655" i="1"/>
  <c r="B301" i="1"/>
  <c r="B698" i="1"/>
  <c r="B330" i="1"/>
  <c r="F850" i="1"/>
  <c r="F633" i="1"/>
  <c r="B199" i="1"/>
  <c r="B732" i="1"/>
  <c r="B532" i="1"/>
  <c r="B616" i="1"/>
  <c r="F659" i="1"/>
  <c r="F243" i="1"/>
  <c r="F808" i="1"/>
  <c r="B574" i="1"/>
  <c r="F224" i="1"/>
  <c r="B691" i="1"/>
  <c r="F309" i="1"/>
  <c r="F690" i="1"/>
  <c r="F418" i="1"/>
  <c r="B672" i="1"/>
  <c r="F663" i="1"/>
  <c r="B309" i="1"/>
  <c r="B547" i="1"/>
  <c r="B690" i="1"/>
  <c r="F388" i="1"/>
  <c r="F213" i="1"/>
  <c r="F689" i="1"/>
  <c r="F393" i="1"/>
  <c r="B656" i="1"/>
  <c r="B668" i="1"/>
  <c r="B60" i="1"/>
  <c r="F699" i="1"/>
  <c r="B417" i="1"/>
  <c r="B552" i="1"/>
  <c r="B630" i="1"/>
  <c r="B86" i="1"/>
  <c r="B200" i="1"/>
  <c r="B637" i="1"/>
  <c r="F410" i="1"/>
  <c r="F646" i="1"/>
  <c r="B313" i="1"/>
  <c r="F111" i="1"/>
  <c r="B551" i="1"/>
  <c r="F390" i="1"/>
  <c r="F627" i="1"/>
  <c r="B110" i="1"/>
  <c r="F354" i="1"/>
  <c r="F666" i="1"/>
  <c r="B636" i="1"/>
  <c r="F566" i="1"/>
  <c r="B842" i="1"/>
  <c r="F773" i="1"/>
  <c r="F707" i="1"/>
  <c r="B579" i="1"/>
  <c r="B47" i="1"/>
  <c r="B645" i="1"/>
  <c r="B213" i="1"/>
  <c r="F692" i="1"/>
  <c r="F316" i="1"/>
  <c r="F849" i="1"/>
  <c r="F593" i="1"/>
  <c r="F137" i="1"/>
  <c r="F718" i="1"/>
  <c r="F510" i="1"/>
  <c r="F138" i="1"/>
  <c r="B649" i="1"/>
  <c r="B225" i="1"/>
  <c r="F776" i="1"/>
  <c r="F568" i="1"/>
  <c r="B198" i="1"/>
  <c r="F685" i="1"/>
  <c r="F197" i="1"/>
  <c r="B680" i="1"/>
  <c r="B408" i="1"/>
  <c r="F570" i="1"/>
  <c r="B653" i="1"/>
  <c r="F303" i="1"/>
  <c r="F477" i="1"/>
  <c r="F684" i="1"/>
  <c r="B354" i="1"/>
  <c r="B640" i="1"/>
  <c r="B679" i="1"/>
  <c r="B327" i="1"/>
  <c r="B576" i="1"/>
  <c r="F662" i="1"/>
  <c r="F709" i="1"/>
  <c r="B689" i="1"/>
  <c r="F411" i="1"/>
  <c r="B846" i="1"/>
  <c r="F616" i="1"/>
  <c r="F72" i="1"/>
  <c r="F661" i="1"/>
  <c r="B806" i="1"/>
  <c r="B46" i="1"/>
  <c r="F255" i="1"/>
  <c r="F308" i="1"/>
  <c r="B160" i="1"/>
  <c r="F792" i="1"/>
  <c r="F575" i="1"/>
  <c r="B767" i="1"/>
  <c r="F49" i="1"/>
  <c r="B692" i="1"/>
  <c r="B97" i="1"/>
  <c r="B416" i="1"/>
  <c r="F631" i="1"/>
  <c r="F330" i="1"/>
  <c r="F667" i="1"/>
  <c r="B865" i="1"/>
  <c r="F774" i="1"/>
  <c r="F195" i="1"/>
  <c r="B594" i="1"/>
  <c r="B803" i="1"/>
  <c r="B412" i="1"/>
  <c r="F639" i="1"/>
  <c r="F199" i="1"/>
  <c r="B682" i="1"/>
  <c r="B306" i="1"/>
  <c r="B791" i="1"/>
  <c r="B575" i="1"/>
  <c r="B111" i="1"/>
  <c r="B708" i="1"/>
  <c r="F454" i="1"/>
  <c r="F867" i="1"/>
  <c r="F643" i="1"/>
  <c r="F171" i="1"/>
  <c r="F744" i="1"/>
  <c r="B550" i="1"/>
  <c r="F184" i="1"/>
  <c r="B675" i="1"/>
  <c r="F778" i="1"/>
  <c r="F674" i="1"/>
  <c r="F394" i="1"/>
  <c r="F226" i="1"/>
  <c r="F647" i="1"/>
  <c r="B277" i="1"/>
  <c r="B307" i="1"/>
  <c r="B674" i="1"/>
  <c r="B314" i="1"/>
  <c r="F546" i="1"/>
  <c r="F673" i="1"/>
  <c r="F313" i="1"/>
  <c r="F306" i="1"/>
  <c r="B652" i="1"/>
  <c r="F683" i="1"/>
  <c r="B393" i="1"/>
  <c r="F576" i="1"/>
  <c r="F698" i="1"/>
  <c r="B303" i="1"/>
  <c r="B673" i="1"/>
  <c r="B566" i="1"/>
  <c r="B666" i="1"/>
  <c r="F843" i="1"/>
  <c r="B510" i="1"/>
  <c r="F658" i="1"/>
  <c r="B658" i="1"/>
  <c r="F307" i="1"/>
  <c r="F567" i="1"/>
  <c r="F635" i="1"/>
  <c r="B212" i="1"/>
  <c r="B567" i="1"/>
  <c r="B845" i="1"/>
  <c r="B629" i="1"/>
  <c r="B133" i="1"/>
  <c r="F676" i="1"/>
  <c r="F300" i="1"/>
  <c r="F777" i="1"/>
  <c r="F569" i="1"/>
  <c r="F97" i="1"/>
  <c r="F702" i="1"/>
  <c r="F414" i="1"/>
  <c r="B849" i="1"/>
  <c r="B633" i="1"/>
  <c r="B137" i="1"/>
  <c r="B718" i="1"/>
  <c r="F544" i="1"/>
  <c r="F136" i="1"/>
  <c r="F669" i="1"/>
  <c r="B704" i="1"/>
  <c r="B664" i="1"/>
  <c r="B376" i="1"/>
  <c r="B72" i="1"/>
  <c r="F668" i="1"/>
  <c r="B663" i="1"/>
  <c r="B651" i="1"/>
  <c r="B851" i="1"/>
  <c r="B266" i="1"/>
  <c r="F712" i="1"/>
  <c r="B659" i="1"/>
  <c r="B853" i="1"/>
  <c r="B852" i="1"/>
  <c r="F743" i="1"/>
  <c r="B98" i="1"/>
  <c r="B61" i="1"/>
  <c r="B715" i="1"/>
  <c r="B805" i="1"/>
  <c r="F791" i="1"/>
  <c r="B565" i="1"/>
  <c r="F23" i="1"/>
  <c r="F660" i="1"/>
  <c r="F244" i="1"/>
  <c r="B719" i="1"/>
  <c r="F545" i="1"/>
  <c r="B23" i="1"/>
  <c r="F686" i="1"/>
  <c r="F342" i="1"/>
  <c r="F803" i="1"/>
  <c r="B593" i="1"/>
  <c r="F75" i="1"/>
  <c r="B702" i="1"/>
  <c r="F488" i="1"/>
  <c r="F48" i="1"/>
  <c r="F653" i="1"/>
  <c r="F866" i="1"/>
  <c r="B648" i="1"/>
  <c r="B328" i="1"/>
  <c r="F847" i="1"/>
  <c r="B605" i="1"/>
  <c r="B197" i="1"/>
  <c r="B392" i="1"/>
  <c r="F652" i="1"/>
  <c r="F228" i="1"/>
  <c r="B240" i="1"/>
  <c r="B647" i="1"/>
  <c r="F241" i="1"/>
  <c r="F846" i="1"/>
  <c r="F630" i="1"/>
  <c r="B792" i="1"/>
  <c r="B657" i="1"/>
  <c r="B241" i="1"/>
  <c r="F768" i="1"/>
  <c r="B430" i="1"/>
  <c r="B819" i="1"/>
  <c r="B710" i="1"/>
  <c r="B533" i="1"/>
  <c r="F644" i="1"/>
  <c r="F212" i="1"/>
  <c r="B415" i="1"/>
  <c r="F670" i="1"/>
  <c r="F771" i="1"/>
  <c r="B569" i="1"/>
  <c r="B686" i="1"/>
  <c r="F637" i="1"/>
  <c r="F842" i="1"/>
  <c r="B304" i="1"/>
  <c r="B149" i="1"/>
  <c r="F636" i="1"/>
  <c r="B847" i="1"/>
  <c r="B183" i="1"/>
  <c r="F704" i="1"/>
  <c r="B591" i="1"/>
  <c r="F688" i="1"/>
  <c r="F681" i="1"/>
  <c r="F431" i="1"/>
  <c r="F645" i="1"/>
  <c r="B773" i="1"/>
  <c r="F551" i="1"/>
  <c r="F429" i="1"/>
  <c r="B650" i="1"/>
  <c r="B226" i="1"/>
  <c r="F713" i="1"/>
  <c r="B455" i="1"/>
  <c r="F277" i="1"/>
  <c r="B676" i="1"/>
  <c r="B316" i="1"/>
  <c r="B777" i="1"/>
  <c r="F579" i="1"/>
  <c r="B49" i="1"/>
  <c r="F696" i="1"/>
  <c r="B454" i="1"/>
  <c r="F98" i="1"/>
  <c r="B643" i="1"/>
  <c r="B848" i="1"/>
  <c r="F642" i="1"/>
  <c r="F314" i="1"/>
  <c r="F807" i="1"/>
  <c r="F591" i="1"/>
  <c r="F183" i="1"/>
  <c r="B866" i="1"/>
  <c r="B642" i="1"/>
  <c r="F196" i="1"/>
  <c r="F865" i="1"/>
  <c r="F641" i="1"/>
  <c r="F201" i="1"/>
  <c r="F806" i="1"/>
  <c r="B572" i="1"/>
  <c r="B312" i="1"/>
  <c r="F651" i="1"/>
  <c r="F227" i="1"/>
  <c r="F416" i="1"/>
  <c r="F805" i="1"/>
  <c r="B195" i="1"/>
  <c r="B703" i="1"/>
  <c r="F229" i="1"/>
  <c r="F310" i="1"/>
  <c r="F35" i="1"/>
  <c r="F432" i="1"/>
  <c r="B867" i="1"/>
  <c r="B632" i="1"/>
  <c r="F775" i="1"/>
  <c r="F852" i="1"/>
  <c r="B74" i="1"/>
  <c r="B631" i="1"/>
  <c r="B780" i="1"/>
  <c r="B548" i="1"/>
  <c r="B755" i="1"/>
  <c r="F664" i="1"/>
  <c r="B554" i="1"/>
  <c r="F767" i="1"/>
  <c r="B573" i="1"/>
  <c r="F312" i="1"/>
  <c r="F395" i="1"/>
  <c r="F677" i="1"/>
  <c r="F719" i="1"/>
  <c r="B477" i="1"/>
  <c r="B850" i="1"/>
  <c r="B634" i="1"/>
  <c r="F172" i="1"/>
  <c r="F697" i="1"/>
  <c r="F409" i="1"/>
  <c r="B411" i="1"/>
  <c r="B660" i="1"/>
  <c r="B300" i="1"/>
  <c r="F731" i="1"/>
  <c r="B545" i="1"/>
  <c r="B315" i="1"/>
  <c r="F680" i="1"/>
  <c r="B414" i="1"/>
  <c r="F853" i="1"/>
  <c r="B627" i="1"/>
  <c r="B808" i="1"/>
  <c r="B592" i="1"/>
  <c r="F242" i="1"/>
  <c r="F135" i="1"/>
  <c r="F851" i="1"/>
  <c r="B429" i="1"/>
  <c r="B184" i="1"/>
  <c r="B302" i="1"/>
  <c r="B709" i="1"/>
  <c r="F455" i="1"/>
  <c r="F844" i="1"/>
  <c r="F628" i="1"/>
  <c r="B138" i="1"/>
  <c r="B687" i="1"/>
  <c r="B391" i="1"/>
  <c r="F634" i="1"/>
  <c r="F654" i="1"/>
  <c r="B244" i="1"/>
  <c r="B713" i="1"/>
  <c r="B409" i="1"/>
  <c r="F149" i="1"/>
  <c r="B670" i="1"/>
  <c r="F408" i="1"/>
  <c r="B843" i="1"/>
  <c r="F605" i="1"/>
  <c r="B776" i="1"/>
  <c r="F578" i="1"/>
  <c r="B224" i="1"/>
  <c r="B717" i="1"/>
  <c r="B549" i="1"/>
  <c r="B109" i="1"/>
  <c r="F780" i="1"/>
  <c r="F572" i="1"/>
  <c r="B196" i="1"/>
  <c r="B807" i="1"/>
  <c r="F577" i="1"/>
  <c r="F73" i="1"/>
  <c r="B756" i="1"/>
  <c r="F430" i="1"/>
  <c r="B841" i="1"/>
  <c r="B577" i="1"/>
  <c r="B644" i="1"/>
  <c r="B770" i="1"/>
  <c r="B678" i="1"/>
  <c r="F703" i="1"/>
  <c r="F76" i="1" l="1"/>
  <c r="F161" i="1"/>
  <c r="F245" i="1"/>
  <c r="F289" i="1"/>
  <c r="F617" i="1"/>
  <c r="F202" i="1"/>
  <c r="F444" i="1"/>
  <c r="F500" i="1"/>
  <c r="F757" i="1"/>
  <c r="F820" i="1"/>
  <c r="F366" i="1"/>
  <c r="F87" i="1"/>
  <c r="F419" i="1"/>
  <c r="F50" i="1"/>
  <c r="F522" i="1"/>
  <c r="F855" i="1"/>
  <c r="F868" i="1"/>
  <c r="F581" i="1"/>
  <c r="F396" i="1"/>
  <c r="F478" i="1"/>
  <c r="F62" i="1"/>
  <c r="F185" i="1"/>
  <c r="F256" i="1"/>
  <c r="F331" i="1"/>
  <c r="F595" i="1"/>
  <c r="F745" i="1"/>
  <c r="F36" i="1"/>
  <c r="F123" i="1"/>
  <c r="F355" i="1"/>
  <c r="F467" i="1"/>
  <c r="F733" i="1"/>
  <c r="F344" i="1"/>
  <c r="F606" i="1"/>
  <c r="F230" i="1"/>
  <c r="F378" i="1"/>
  <c r="F489" i="1"/>
  <c r="F555" i="1"/>
  <c r="F112" i="1"/>
  <c r="F150" i="1"/>
  <c r="F173" i="1"/>
  <c r="F317" i="1"/>
  <c r="F720" i="1"/>
  <c r="F809" i="1"/>
  <c r="F456" i="1"/>
  <c r="F511" i="1"/>
  <c r="F831" i="1"/>
  <c r="F267" i="1"/>
  <c r="F278" i="1"/>
  <c r="F99" i="1"/>
  <c r="F139" i="1"/>
  <c r="F214" i="1"/>
  <c r="F534" i="1"/>
  <c r="F433" i="1"/>
  <c r="F24" i="1"/>
  <c r="F781" i="1"/>
  <c r="F793" i="1"/>
  <c r="B9" i="1" l="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9694C644-AA08-4D47-BC52-09FF13F109EF}">
      <text>
        <r>
          <rPr>
            <b/>
            <sz val="9"/>
            <rFont val="Tahoma"/>
            <family val="2"/>
          </rPr>
          <t>Introduzca el año del PACC</t>
        </r>
      </text>
    </comment>
    <comment ref="E12" authorId="0" shapeId="0" xr:uid="{B1E1B31B-99B2-4E38-A43B-F8DA573D9394}">
      <text>
        <r>
          <rPr>
            <b/>
            <sz val="9"/>
            <rFont val="Tahoma"/>
            <family val="2"/>
          </rPr>
          <t>Introduzca la fecha de aprobación, en formato dd/mm/aaaa</t>
        </r>
      </text>
    </comment>
    <comment ref="A16" authorId="1" shapeId="0" xr:uid="{336B6FC6-40AA-470C-8669-6AB448026E46}">
      <text>
        <r>
          <rPr>
            <sz val="11"/>
            <color theme="1"/>
            <rFont val="Aptos Narrow"/>
            <family val="2"/>
            <scheme val="minor"/>
          </rPr>
          <t>Introducir un texto con el nombre o referencia de la contratación</t>
        </r>
      </text>
    </comment>
    <comment ref="B16" authorId="1" shapeId="0" xr:uid="{39E7DEF8-4E13-4CF0-9365-4EF7966C6263}">
      <text>
        <r>
          <rPr>
            <sz val="11"/>
            <color theme="1"/>
            <rFont val="Aptos Narrow"/>
            <family val="2"/>
            <scheme val="minor"/>
          </rPr>
          <t>Introduzca un texto con la finalidad de la contratación</t>
        </r>
      </text>
    </comment>
    <comment ref="C16" authorId="1" shapeId="0" xr:uid="{72EF93BF-664C-4CB2-BE12-6F48110A90AC}">
      <text>
        <r>
          <rPr>
            <sz val="11"/>
            <color theme="1"/>
            <rFont val="Aptos Narrow"/>
            <family val="2"/>
            <scheme val="minor"/>
          </rPr>
          <t>Seleccionar un valor del listado</t>
        </r>
      </text>
    </comment>
    <comment ref="D16" authorId="1" shapeId="0" xr:uid="{41631A4A-5F2C-4EBE-A5F8-A3AB7F08DBF0}">
      <text>
        <r>
          <rPr>
            <sz val="11"/>
            <color theme="1"/>
            <rFont val="Aptos Narrow"/>
            <family val="2"/>
            <scheme val="minor"/>
          </rPr>
          <t>Seleccione el tipo de procedimiento</t>
        </r>
      </text>
    </comment>
    <comment ref="E16" authorId="1" shapeId="0" xr:uid="{C8D3B438-1BDE-4E8C-B23E-33BB79A71D16}">
      <text>
        <r>
          <rPr>
            <sz val="11"/>
            <color theme="1"/>
            <rFont val="Aptos Narrow"/>
            <family val="2"/>
            <scheme val="minor"/>
          </rPr>
          <t>Seleccione un valor de la lista</t>
        </r>
      </text>
    </comment>
    <comment ref="F16" authorId="1" shapeId="0" xr:uid="{91A10E70-19A9-4DD6-BBA2-23679FFA196E}">
      <text>
        <r>
          <rPr>
            <sz val="11"/>
            <color theme="1"/>
            <rFont val="Aptos Narrow"/>
            <family val="2"/>
            <scheme val="minor"/>
          </rPr>
          <t>Introduzca el código SNIP</t>
        </r>
      </text>
    </comment>
    <comment ref="C17" authorId="1" shapeId="0" xr:uid="{D6C9D3D9-FD76-4776-8C57-00BFD9C864E2}">
      <text>
        <r>
          <rPr>
            <sz val="11"/>
            <color theme="1"/>
            <rFont val="Aptos Narrow"/>
            <family val="2"/>
            <scheme val="minor"/>
          </rPr>
          <t>Introduzca la fecha de inicio del proceso, en formato dd-mm-aaaa</t>
        </r>
      </text>
    </comment>
    <comment ref="F17" authorId="1" shapeId="0" xr:uid="{52123008-0FEF-415B-9B4E-3C9EC150634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 authorId="1" shapeId="0" xr:uid="{4600C8DF-F67A-433D-BE8A-E3501998E2ED}">
      <text/>
    </comment>
    <comment ref="C19" authorId="1" shapeId="0" xr:uid="{E46DC2A9-6D7B-47BC-B36C-8B6436BC7630}">
      <text>
        <r>
          <rPr>
            <sz val="11"/>
            <color theme="1"/>
            <rFont val="Aptos Narrow"/>
            <family val="2"/>
            <scheme val="minor"/>
          </rPr>
          <t>Introduzca la fecha prevista de adjudicación, en formato dd-mm-aaaa</t>
        </r>
      </text>
    </comment>
    <comment ref="F19" authorId="1" shapeId="0" xr:uid="{C44299F7-3029-40B5-B00D-4DF92CEAFB75}">
      <text/>
    </comment>
    <comment ref="F20" authorId="1" shapeId="0" xr:uid="{ED7CBEE5-554A-456F-9263-39FE057C06FD}">
      <text/>
    </comment>
    <comment ref="A22" authorId="1" shapeId="0" xr:uid="{ABF281F2-4507-4416-ABBB-71986001FF41}">
      <text>
        <r>
          <rPr>
            <sz val="11"/>
            <color theme="1"/>
            <rFont val="Aptos Narrow"/>
            <family val="2"/>
            <scheme val="minor"/>
          </rPr>
          <t>Introduzca un codigo UNSPSC</t>
        </r>
      </text>
    </comment>
    <comment ref="B22" authorId="1" shapeId="0" xr:uid="{B2304FED-E767-4C27-8CC2-D47E1D3C5167}">
      <text>
        <r>
          <rPr>
            <sz val="11"/>
            <color theme="1"/>
            <rFont val="Aptos Narrow"/>
            <family val="2"/>
            <scheme val="minor"/>
          </rPr>
          <t>Descripción calculada automáticamente a partir de código del artículo</t>
        </r>
      </text>
    </comment>
    <comment ref="C22" authorId="1" shapeId="0" xr:uid="{08198895-4764-4E12-9B2E-6DC374ACF718}">
      <text>
        <r>
          <rPr>
            <sz val="11"/>
            <color theme="1"/>
            <rFont val="Aptos Narrow"/>
            <family val="2"/>
            <scheme val="minor"/>
          </rPr>
          <t>Seleccione un valor de la lista</t>
        </r>
      </text>
    </comment>
    <comment ref="D22" authorId="1" shapeId="0" xr:uid="{1260500C-EC0E-4EB3-9734-D771E9479316}">
      <text>
        <r>
          <rPr>
            <sz val="11"/>
            <color theme="1"/>
            <rFont val="Aptos Narrow"/>
            <family val="2"/>
            <scheme val="minor"/>
          </rPr>
          <t>Introduzca un número con dos decimales como máximo. Debe ser igual o mayor a la "Cantidad Real Consumida"</t>
        </r>
      </text>
    </comment>
    <comment ref="E22" authorId="1" shapeId="0" xr:uid="{7FC5A093-D63C-4C48-BA79-477861FC6762}">
      <text>
        <r>
          <rPr>
            <sz val="11"/>
            <color theme="1"/>
            <rFont val="Aptos Narrow"/>
            <family val="2"/>
            <scheme val="minor"/>
          </rPr>
          <t>Introduzca un número con dos decimales como máximo</t>
        </r>
      </text>
    </comment>
    <comment ref="F22" authorId="1" shapeId="0" xr:uid="{D1431872-D95B-4EC1-B723-ED7CF1A50165}">
      <text>
        <r>
          <rPr>
            <sz val="11"/>
            <color theme="1"/>
            <rFont val="Aptos Narrow"/>
            <family val="2"/>
            <scheme val="minor"/>
          </rPr>
          <t>Monto calculado automáticamente por el sistema</t>
        </r>
      </text>
    </comment>
    <comment ref="A27" authorId="1" shapeId="0" xr:uid="{487839BF-C1E6-4E40-8526-C6C89EB95386}">
      <text>
        <r>
          <rPr>
            <sz val="11"/>
            <color theme="1"/>
            <rFont val="Aptos Narrow"/>
            <family val="2"/>
            <scheme val="minor"/>
          </rPr>
          <t>Introducir un texto con el nombre o referencia de la contratación</t>
        </r>
      </text>
    </comment>
    <comment ref="B27" authorId="1" shapeId="0" xr:uid="{97F8F1E1-80D4-401B-812F-DF2BE1195562}">
      <text>
        <r>
          <rPr>
            <sz val="11"/>
            <color theme="1"/>
            <rFont val="Aptos Narrow"/>
            <family val="2"/>
            <scheme val="minor"/>
          </rPr>
          <t>Introduzca un texto con la finalidad de la contratación</t>
        </r>
      </text>
    </comment>
    <comment ref="C27" authorId="1" shapeId="0" xr:uid="{D8ED7FF3-FC66-4D9D-A4C4-2773B65D46F2}">
      <text>
        <r>
          <rPr>
            <sz val="11"/>
            <color theme="1"/>
            <rFont val="Aptos Narrow"/>
            <family val="2"/>
            <scheme val="minor"/>
          </rPr>
          <t>Seleccionar un valor del listado</t>
        </r>
      </text>
    </comment>
    <comment ref="D27" authorId="1" shapeId="0" xr:uid="{BD1064C4-A7E9-4B03-B2BC-41F2A2576865}">
      <text>
        <r>
          <rPr>
            <sz val="11"/>
            <color theme="1"/>
            <rFont val="Aptos Narrow"/>
            <family val="2"/>
            <scheme val="minor"/>
          </rPr>
          <t>Seleccione el tipo de procedimiento</t>
        </r>
      </text>
    </comment>
    <comment ref="E27" authorId="1" shapeId="0" xr:uid="{5E27ADB9-CAA3-45D3-8FE9-99196DD4324C}">
      <text>
        <r>
          <rPr>
            <sz val="11"/>
            <color theme="1"/>
            <rFont val="Aptos Narrow"/>
            <family val="2"/>
            <scheme val="minor"/>
          </rPr>
          <t>Seleccione un valor de la lista</t>
        </r>
      </text>
    </comment>
    <comment ref="F27" authorId="1" shapeId="0" xr:uid="{EE6129EB-0F79-43A1-BF1B-4D8766A21EA8}">
      <text>
        <r>
          <rPr>
            <sz val="11"/>
            <color theme="1"/>
            <rFont val="Aptos Narrow"/>
            <family val="2"/>
            <scheme val="minor"/>
          </rPr>
          <t>Introduzca el código SNIP</t>
        </r>
      </text>
    </comment>
    <comment ref="C28" authorId="1" shapeId="0" xr:uid="{975451BB-7EE3-4D40-8D5E-8BD5DF7EBF1B}">
      <text>
        <r>
          <rPr>
            <sz val="11"/>
            <color theme="1"/>
            <rFont val="Aptos Narrow"/>
            <family val="2"/>
            <scheme val="minor"/>
          </rPr>
          <t>Introduzca la fecha de inicio del proceso, en formato dd-mm-aaaa</t>
        </r>
      </text>
    </comment>
    <comment ref="F28" authorId="1" shapeId="0" xr:uid="{05A4CE0A-8365-48C3-A2AE-C8FB2F50926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 authorId="1" shapeId="0" xr:uid="{AB5E6951-6FCD-47EC-B8A0-B26DBD99672B}">
      <text/>
    </comment>
    <comment ref="C30" authorId="1" shapeId="0" xr:uid="{B57CAF12-865C-4451-94ED-049E9C88EF53}">
      <text>
        <r>
          <rPr>
            <sz val="11"/>
            <color theme="1"/>
            <rFont val="Aptos Narrow"/>
            <family val="2"/>
            <scheme val="minor"/>
          </rPr>
          <t>Introduzca la fecha prevista de adjudicación, en formato dd-mm-aaaa</t>
        </r>
      </text>
    </comment>
    <comment ref="F30" authorId="1" shapeId="0" xr:uid="{92B51B3B-31E4-4677-82DC-4BB7422493F2}">
      <text/>
    </comment>
    <comment ref="F31" authorId="1" shapeId="0" xr:uid="{88E813F4-5115-4650-893D-80F63C5EDCD3}">
      <text/>
    </comment>
    <comment ref="A33" authorId="1" shapeId="0" xr:uid="{4977E4C4-FFAA-498E-96C1-71E9C1596ECC}">
      <text>
        <r>
          <rPr>
            <sz val="11"/>
            <color theme="1"/>
            <rFont val="Aptos Narrow"/>
            <family val="2"/>
            <scheme val="minor"/>
          </rPr>
          <t>Introduzca un codigo UNSPSC</t>
        </r>
      </text>
    </comment>
    <comment ref="B33" authorId="1" shapeId="0" xr:uid="{1C444F3A-30E4-404D-955C-98F538A26AF0}">
      <text>
        <r>
          <rPr>
            <sz val="11"/>
            <color theme="1"/>
            <rFont val="Aptos Narrow"/>
            <family val="2"/>
            <scheme val="minor"/>
          </rPr>
          <t>Descripción calculada automáticamente a partir de código del artículo</t>
        </r>
      </text>
    </comment>
    <comment ref="C33" authorId="1" shapeId="0" xr:uid="{339FF0AE-E737-45E4-8A2A-53B3B2229002}">
      <text>
        <r>
          <rPr>
            <sz val="11"/>
            <color theme="1"/>
            <rFont val="Aptos Narrow"/>
            <family val="2"/>
            <scheme val="minor"/>
          </rPr>
          <t>Seleccione un valor de la lista</t>
        </r>
      </text>
    </comment>
    <comment ref="D33" authorId="1" shapeId="0" xr:uid="{61B8488A-ED94-4306-A63A-EEBB85451294}">
      <text>
        <r>
          <rPr>
            <sz val="11"/>
            <color theme="1"/>
            <rFont val="Aptos Narrow"/>
            <family val="2"/>
            <scheme val="minor"/>
          </rPr>
          <t>Introduzca un número con dos decimales como máximo. Debe ser igual o mayor a la "Cantidad Real Consumida"</t>
        </r>
      </text>
    </comment>
    <comment ref="E33" authorId="1" shapeId="0" xr:uid="{BC03C073-5D32-4B79-936F-91BC92C11097}">
      <text>
        <r>
          <rPr>
            <sz val="11"/>
            <color theme="1"/>
            <rFont val="Aptos Narrow"/>
            <family val="2"/>
            <scheme val="minor"/>
          </rPr>
          <t>Introduzca un número con dos decimales como máximo</t>
        </r>
      </text>
    </comment>
    <comment ref="F33" authorId="1" shapeId="0" xr:uid="{0DEC61A8-00FD-4A49-962D-7EF0BF9A1B78}">
      <text>
        <r>
          <rPr>
            <sz val="11"/>
            <color theme="1"/>
            <rFont val="Aptos Narrow"/>
            <family val="2"/>
            <scheme val="minor"/>
          </rPr>
          <t>Monto calculado automáticamente por el sistema</t>
        </r>
      </text>
    </comment>
    <comment ref="A39" authorId="1" shapeId="0" xr:uid="{5C86BE05-6DEB-4FE1-AA11-B5F165C10C44}">
      <text>
        <r>
          <rPr>
            <sz val="11"/>
            <color theme="1"/>
            <rFont val="Aptos Narrow"/>
            <family val="2"/>
            <scheme val="minor"/>
          </rPr>
          <t>Introducir un texto con el nombre o referencia de la contratación</t>
        </r>
      </text>
    </comment>
    <comment ref="B39" authorId="1" shapeId="0" xr:uid="{C34484AF-C564-4EE3-ADFA-33B2CD26B615}">
      <text>
        <r>
          <rPr>
            <sz val="11"/>
            <color theme="1"/>
            <rFont val="Aptos Narrow"/>
            <family val="2"/>
            <scheme val="minor"/>
          </rPr>
          <t>Introduzca un texto con la finalidad de la contratación</t>
        </r>
      </text>
    </comment>
    <comment ref="C39" authorId="1" shapeId="0" xr:uid="{DB5DC85E-B269-410D-8DF9-22E2ACFAED8D}">
      <text>
        <r>
          <rPr>
            <sz val="11"/>
            <color theme="1"/>
            <rFont val="Aptos Narrow"/>
            <family val="2"/>
            <scheme val="minor"/>
          </rPr>
          <t>Seleccionar un valor del listado</t>
        </r>
      </text>
    </comment>
    <comment ref="D39" authorId="1" shapeId="0" xr:uid="{57DED567-12A9-4DF9-9C97-243A24420608}">
      <text>
        <r>
          <rPr>
            <sz val="11"/>
            <color theme="1"/>
            <rFont val="Aptos Narrow"/>
            <family val="2"/>
            <scheme val="minor"/>
          </rPr>
          <t>Seleccione el tipo de procedimiento</t>
        </r>
      </text>
    </comment>
    <comment ref="E39" authorId="1" shapeId="0" xr:uid="{0859994F-BD07-4550-B6AF-9D66C0D0BA6A}">
      <text>
        <r>
          <rPr>
            <sz val="11"/>
            <color theme="1"/>
            <rFont val="Aptos Narrow"/>
            <family val="2"/>
            <scheme val="minor"/>
          </rPr>
          <t>Seleccione un valor de la lista</t>
        </r>
      </text>
    </comment>
    <comment ref="F39" authorId="1" shapeId="0" xr:uid="{2B9A8A49-B54D-40D8-A960-255294354F9C}">
      <text>
        <r>
          <rPr>
            <sz val="11"/>
            <color theme="1"/>
            <rFont val="Aptos Narrow"/>
            <family val="2"/>
            <scheme val="minor"/>
          </rPr>
          <t>Introduzca el código SNIP</t>
        </r>
      </text>
    </comment>
    <comment ref="C40" authorId="1" shapeId="0" xr:uid="{D660A06D-9CC2-495A-97D9-378642A86B37}">
      <text>
        <r>
          <rPr>
            <sz val="11"/>
            <color theme="1"/>
            <rFont val="Aptos Narrow"/>
            <family val="2"/>
            <scheme val="minor"/>
          </rPr>
          <t>Introduzca la fecha de inicio del proceso, en formato dd-mm-aaaa</t>
        </r>
      </text>
    </comment>
    <comment ref="F40" authorId="1" shapeId="0" xr:uid="{A10EAD52-CEAC-456A-9446-5A6310B2042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 authorId="1" shapeId="0" xr:uid="{45BA2C5C-CA8F-4489-A45D-054FF723BAD1}">
      <text/>
    </comment>
    <comment ref="C42" authorId="1" shapeId="0" xr:uid="{DBEF7F34-84E1-4E72-A0D7-96558D52F23F}">
      <text>
        <r>
          <rPr>
            <sz val="11"/>
            <color theme="1"/>
            <rFont val="Aptos Narrow"/>
            <family val="2"/>
            <scheme val="minor"/>
          </rPr>
          <t>Introduzca la fecha prevista de adjudicación, en formato dd-mm-aaaa</t>
        </r>
      </text>
    </comment>
    <comment ref="F42" authorId="1" shapeId="0" xr:uid="{0D90A62E-C54A-41E8-948B-205DA4081158}">
      <text/>
    </comment>
    <comment ref="F43" authorId="1" shapeId="0" xr:uid="{432FA010-20EA-4571-8D23-1F34103EDD5B}">
      <text/>
    </comment>
    <comment ref="A45" authorId="1" shapeId="0" xr:uid="{8C0A889A-A3AD-4244-A15A-0EA82749FD15}">
      <text>
        <r>
          <rPr>
            <sz val="11"/>
            <color theme="1"/>
            <rFont val="Aptos Narrow"/>
            <family val="2"/>
            <scheme val="minor"/>
          </rPr>
          <t>Introduzca un codigo UNSPSC</t>
        </r>
      </text>
    </comment>
    <comment ref="B45" authorId="1" shapeId="0" xr:uid="{BA8099E4-161A-45CF-BF39-FF2794653039}">
      <text>
        <r>
          <rPr>
            <sz val="11"/>
            <color theme="1"/>
            <rFont val="Aptos Narrow"/>
            <family val="2"/>
            <scheme val="minor"/>
          </rPr>
          <t>Descripción calculada automáticamente a partir de código del artículo</t>
        </r>
      </text>
    </comment>
    <comment ref="C45" authorId="1" shapeId="0" xr:uid="{34AE15BC-29AE-4A4E-8560-ED5299B1AD5A}">
      <text>
        <r>
          <rPr>
            <sz val="11"/>
            <color theme="1"/>
            <rFont val="Aptos Narrow"/>
            <family val="2"/>
            <scheme val="minor"/>
          </rPr>
          <t>Seleccione un valor de la lista</t>
        </r>
      </text>
    </comment>
    <comment ref="D45" authorId="1" shapeId="0" xr:uid="{807F0C30-93F1-421C-A948-6448C091A708}">
      <text>
        <r>
          <rPr>
            <sz val="11"/>
            <color theme="1"/>
            <rFont val="Aptos Narrow"/>
            <family val="2"/>
            <scheme val="minor"/>
          </rPr>
          <t>Introduzca un número con dos decimales como máximo. Debe ser igual o mayor a la "Cantidad Real Consumida"</t>
        </r>
      </text>
    </comment>
    <comment ref="E45" authorId="1" shapeId="0" xr:uid="{F949C831-CEFF-4C46-B398-C074C0933349}">
      <text>
        <r>
          <rPr>
            <sz val="11"/>
            <color theme="1"/>
            <rFont val="Aptos Narrow"/>
            <family val="2"/>
            <scheme val="minor"/>
          </rPr>
          <t>Introduzca un número con dos decimales como máximo</t>
        </r>
      </text>
    </comment>
    <comment ref="F45" authorId="1" shapeId="0" xr:uid="{932B0EE8-3424-4E7E-9865-6B0560F62993}">
      <text>
        <r>
          <rPr>
            <sz val="11"/>
            <color theme="1"/>
            <rFont val="Aptos Narrow"/>
            <family val="2"/>
            <scheme val="minor"/>
          </rPr>
          <t>Monto calculado automáticamente por el sistema</t>
        </r>
      </text>
    </comment>
    <comment ref="A53" authorId="1" shapeId="0" xr:uid="{B9321D25-3418-481E-BDD4-95A05930144C}">
      <text>
        <r>
          <rPr>
            <sz val="11"/>
            <color theme="1"/>
            <rFont val="Aptos Narrow"/>
            <family val="2"/>
            <scheme val="minor"/>
          </rPr>
          <t>Introducir un texto con el nombre o referencia de la contratación</t>
        </r>
      </text>
    </comment>
    <comment ref="B53" authorId="1" shapeId="0" xr:uid="{5CAB127D-0D0D-4955-A829-62FB49F02B11}">
      <text>
        <r>
          <rPr>
            <sz val="11"/>
            <color theme="1"/>
            <rFont val="Aptos Narrow"/>
            <family val="2"/>
            <scheme val="minor"/>
          </rPr>
          <t>Introduzca un texto con la finalidad de la contratación</t>
        </r>
      </text>
    </comment>
    <comment ref="C53" authorId="1" shapeId="0" xr:uid="{8782B671-9BDA-4557-9719-190D2CFA6105}">
      <text>
        <r>
          <rPr>
            <sz val="11"/>
            <color theme="1"/>
            <rFont val="Aptos Narrow"/>
            <family val="2"/>
            <scheme val="minor"/>
          </rPr>
          <t>Seleccionar un valor del listado</t>
        </r>
      </text>
    </comment>
    <comment ref="D53" authorId="1" shapeId="0" xr:uid="{400C72DF-3F47-4B36-90EC-887630DE632F}">
      <text>
        <r>
          <rPr>
            <sz val="11"/>
            <color theme="1"/>
            <rFont val="Aptos Narrow"/>
            <family val="2"/>
            <scheme val="minor"/>
          </rPr>
          <t>Seleccione el tipo de procedimiento</t>
        </r>
      </text>
    </comment>
    <comment ref="E53" authorId="1" shapeId="0" xr:uid="{C81CE60F-4287-412D-9F2B-B783F0D20E55}">
      <text>
        <r>
          <rPr>
            <sz val="11"/>
            <color theme="1"/>
            <rFont val="Aptos Narrow"/>
            <family val="2"/>
            <scheme val="minor"/>
          </rPr>
          <t>Seleccione un valor de la lista</t>
        </r>
      </text>
    </comment>
    <comment ref="F53" authorId="1" shapeId="0" xr:uid="{F1A23CEB-A4B6-4746-ADDF-985F15348DB7}">
      <text>
        <r>
          <rPr>
            <sz val="11"/>
            <color theme="1"/>
            <rFont val="Aptos Narrow"/>
            <family val="2"/>
            <scheme val="minor"/>
          </rPr>
          <t>Introduzca el código SNIP</t>
        </r>
      </text>
    </comment>
    <comment ref="C54" authorId="1" shapeId="0" xr:uid="{432ED158-D128-4898-AB1D-385483155DF6}">
      <text>
        <r>
          <rPr>
            <sz val="11"/>
            <color theme="1"/>
            <rFont val="Aptos Narrow"/>
            <family val="2"/>
            <scheme val="minor"/>
          </rPr>
          <t>Introduzca la fecha de inicio del proceso, en formato dd-mm-aaaa</t>
        </r>
      </text>
    </comment>
    <comment ref="F54" authorId="1" shapeId="0" xr:uid="{A48D44A4-25C3-450B-B479-13078E1EC6B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5" authorId="1" shapeId="0" xr:uid="{59CEB10F-6CE7-48A7-8174-42C6213153F0}">
      <text/>
    </comment>
    <comment ref="C56" authorId="1" shapeId="0" xr:uid="{80CF90D8-1ED2-492F-833B-6FE76BADDAAF}">
      <text>
        <r>
          <rPr>
            <sz val="11"/>
            <color theme="1"/>
            <rFont val="Aptos Narrow"/>
            <family val="2"/>
            <scheme val="minor"/>
          </rPr>
          <t>Introduzca la fecha prevista de adjudicación, en formato dd-mm-aaaa</t>
        </r>
      </text>
    </comment>
    <comment ref="F56" authorId="1" shapeId="0" xr:uid="{75DA2936-BE37-41AC-8C81-49C621765ACE}">
      <text/>
    </comment>
    <comment ref="F57" authorId="1" shapeId="0" xr:uid="{CC2B4DB9-0D5D-4ECD-B7D5-64C5C5452B7E}">
      <text/>
    </comment>
    <comment ref="A59" authorId="1" shapeId="0" xr:uid="{CCE369DF-2CC8-45D2-B585-237405A3A8F5}">
      <text>
        <r>
          <rPr>
            <sz val="11"/>
            <color theme="1"/>
            <rFont val="Aptos Narrow"/>
            <family val="2"/>
            <scheme val="minor"/>
          </rPr>
          <t>Introduzca un codigo UNSPSC</t>
        </r>
      </text>
    </comment>
    <comment ref="B59" authorId="1" shapeId="0" xr:uid="{0544189A-9C40-4F9F-AE88-C4D956B47E9A}">
      <text>
        <r>
          <rPr>
            <sz val="11"/>
            <color theme="1"/>
            <rFont val="Aptos Narrow"/>
            <family val="2"/>
            <scheme val="minor"/>
          </rPr>
          <t>Descripción calculada automáticamente a partir de código del artículo</t>
        </r>
      </text>
    </comment>
    <comment ref="C59" authorId="1" shapeId="0" xr:uid="{D513A9BB-FB33-418D-AEB1-39EC6774DAF7}">
      <text>
        <r>
          <rPr>
            <sz val="11"/>
            <color theme="1"/>
            <rFont val="Aptos Narrow"/>
            <family val="2"/>
            <scheme val="minor"/>
          </rPr>
          <t>Seleccione un valor de la lista</t>
        </r>
      </text>
    </comment>
    <comment ref="D59" authorId="1" shapeId="0" xr:uid="{85E69354-74DC-47DE-B49B-31F35262FF96}">
      <text>
        <r>
          <rPr>
            <sz val="11"/>
            <color theme="1"/>
            <rFont val="Aptos Narrow"/>
            <family val="2"/>
            <scheme val="minor"/>
          </rPr>
          <t>Introduzca un número con dos decimales como máximo. Debe ser igual o mayor a la "Cantidad Real Consumida"</t>
        </r>
      </text>
    </comment>
    <comment ref="E59" authorId="1" shapeId="0" xr:uid="{EE9A9643-9BF6-401B-BA46-2E4AD8F314BF}">
      <text>
        <r>
          <rPr>
            <sz val="11"/>
            <color theme="1"/>
            <rFont val="Aptos Narrow"/>
            <family val="2"/>
            <scheme val="minor"/>
          </rPr>
          <t>Introduzca un número con dos decimales como máximo</t>
        </r>
      </text>
    </comment>
    <comment ref="F59" authorId="1" shapeId="0" xr:uid="{D86F8B96-AA14-4AC4-BE44-D4E319028AF7}">
      <text>
        <r>
          <rPr>
            <sz val="11"/>
            <color theme="1"/>
            <rFont val="Aptos Narrow"/>
            <family val="2"/>
            <scheme val="minor"/>
          </rPr>
          <t>Monto calculado automáticamente por el sistema</t>
        </r>
      </text>
    </comment>
    <comment ref="A65" authorId="1" shapeId="0" xr:uid="{1FF4F24D-1087-4C79-9A46-380C708799EE}">
      <text>
        <r>
          <rPr>
            <sz val="11"/>
            <color theme="1"/>
            <rFont val="Aptos Narrow"/>
            <family val="2"/>
            <scheme val="minor"/>
          </rPr>
          <t>Introducir un texto con el nombre o referencia de la contratación</t>
        </r>
      </text>
    </comment>
    <comment ref="B65" authorId="1" shapeId="0" xr:uid="{8DC5CB43-F0E4-425C-B388-02A87E61F44C}">
      <text>
        <r>
          <rPr>
            <sz val="11"/>
            <color theme="1"/>
            <rFont val="Aptos Narrow"/>
            <family val="2"/>
            <scheme val="minor"/>
          </rPr>
          <t>Introduzca un texto con la finalidad de la contratación</t>
        </r>
      </text>
    </comment>
    <comment ref="C65" authorId="1" shapeId="0" xr:uid="{AD546618-BF21-4C82-9C8A-3780238F0B29}">
      <text>
        <r>
          <rPr>
            <sz val="11"/>
            <color theme="1"/>
            <rFont val="Aptos Narrow"/>
            <family val="2"/>
            <scheme val="minor"/>
          </rPr>
          <t>Seleccionar un valor del listado</t>
        </r>
      </text>
    </comment>
    <comment ref="D65" authorId="1" shapeId="0" xr:uid="{644BE37A-4A56-4682-A082-717D46D39CA0}">
      <text>
        <r>
          <rPr>
            <sz val="11"/>
            <color theme="1"/>
            <rFont val="Aptos Narrow"/>
            <family val="2"/>
            <scheme val="minor"/>
          </rPr>
          <t>Seleccione el tipo de procedimiento</t>
        </r>
      </text>
    </comment>
    <comment ref="E65" authorId="1" shapeId="0" xr:uid="{9FCBC287-6CA5-4022-B9F1-674BF4783363}">
      <text>
        <r>
          <rPr>
            <sz val="11"/>
            <color theme="1"/>
            <rFont val="Aptos Narrow"/>
            <family val="2"/>
            <scheme val="minor"/>
          </rPr>
          <t>Seleccione un valor de la lista</t>
        </r>
      </text>
    </comment>
    <comment ref="F65" authorId="1" shapeId="0" xr:uid="{E5B3FF7E-CD9D-4779-84F9-78F0299E912A}">
      <text>
        <r>
          <rPr>
            <sz val="11"/>
            <color theme="1"/>
            <rFont val="Aptos Narrow"/>
            <family val="2"/>
            <scheme val="minor"/>
          </rPr>
          <t>Introduzca el código SNIP</t>
        </r>
      </text>
    </comment>
    <comment ref="C66" authorId="1" shapeId="0" xr:uid="{4D678B44-D08D-4B43-9DB6-B52FB9E085B1}">
      <text>
        <r>
          <rPr>
            <sz val="11"/>
            <color theme="1"/>
            <rFont val="Aptos Narrow"/>
            <family val="2"/>
            <scheme val="minor"/>
          </rPr>
          <t>Introduzca la fecha de inicio del proceso, en formato dd-mm-aaaa</t>
        </r>
      </text>
    </comment>
    <comment ref="F66" authorId="1" shapeId="0" xr:uid="{F1075E48-EF38-4013-92CF-0B1E51872B8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7" authorId="1" shapeId="0" xr:uid="{06216E32-BB8E-42CD-B987-EF8FD7FB86EE}">
      <text/>
    </comment>
    <comment ref="C68" authorId="1" shapeId="0" xr:uid="{4A37D2FC-2A2E-45E1-8776-6B8EE7576041}">
      <text>
        <r>
          <rPr>
            <sz val="11"/>
            <color theme="1"/>
            <rFont val="Aptos Narrow"/>
            <family val="2"/>
            <scheme val="minor"/>
          </rPr>
          <t>Introduzca la fecha prevista de adjudicación, en formato dd-mm-aaaa</t>
        </r>
      </text>
    </comment>
    <comment ref="F68" authorId="1" shapeId="0" xr:uid="{A4AC252A-35B2-4B1F-AC68-8EBA2B8CF086}">
      <text/>
    </comment>
    <comment ref="F69" authorId="1" shapeId="0" xr:uid="{71D95140-630F-4108-BC18-E7984630FCD5}">
      <text/>
    </comment>
    <comment ref="A71" authorId="1" shapeId="0" xr:uid="{9C5C810C-E19F-4B7D-8095-DA82873C7A02}">
      <text>
        <r>
          <rPr>
            <sz val="11"/>
            <color theme="1"/>
            <rFont val="Aptos Narrow"/>
            <family val="2"/>
            <scheme val="minor"/>
          </rPr>
          <t>Introduzca un codigo UNSPSC</t>
        </r>
      </text>
    </comment>
    <comment ref="B71" authorId="1" shapeId="0" xr:uid="{6E13A7AF-26A2-460B-87FF-13F9EE35466F}">
      <text>
        <r>
          <rPr>
            <sz val="11"/>
            <color theme="1"/>
            <rFont val="Aptos Narrow"/>
            <family val="2"/>
            <scheme val="minor"/>
          </rPr>
          <t>Descripción calculada automáticamente a partir de código del artículo</t>
        </r>
      </text>
    </comment>
    <comment ref="C71" authorId="1" shapeId="0" xr:uid="{37AFF762-3A84-42C3-9F6B-AA6AED29C984}">
      <text>
        <r>
          <rPr>
            <sz val="11"/>
            <color theme="1"/>
            <rFont val="Aptos Narrow"/>
            <family val="2"/>
            <scheme val="minor"/>
          </rPr>
          <t>Seleccione un valor de la lista</t>
        </r>
      </text>
    </comment>
    <comment ref="D71" authorId="1" shapeId="0" xr:uid="{C8EF1426-CDE4-4DF7-95BC-CE37DA718A1B}">
      <text>
        <r>
          <rPr>
            <sz val="11"/>
            <color theme="1"/>
            <rFont val="Aptos Narrow"/>
            <family val="2"/>
            <scheme val="minor"/>
          </rPr>
          <t>Introduzca un número con dos decimales como máximo. Debe ser igual o mayor a la "Cantidad Real Consumida"</t>
        </r>
      </text>
    </comment>
    <comment ref="E71" authorId="1" shapeId="0" xr:uid="{91FA70ED-4526-45EF-8789-A3954F4B2263}">
      <text>
        <r>
          <rPr>
            <sz val="11"/>
            <color theme="1"/>
            <rFont val="Aptos Narrow"/>
            <family val="2"/>
            <scheme val="minor"/>
          </rPr>
          <t>Introduzca un número con dos decimales como máximo</t>
        </r>
      </text>
    </comment>
    <comment ref="F71" authorId="1" shapeId="0" xr:uid="{8D2CCD92-A194-4A40-872B-095608542860}">
      <text>
        <r>
          <rPr>
            <sz val="11"/>
            <color theme="1"/>
            <rFont val="Aptos Narrow"/>
            <family val="2"/>
            <scheme val="minor"/>
          </rPr>
          <t>Monto calculado automáticamente por el sistema</t>
        </r>
      </text>
    </comment>
    <comment ref="A79" authorId="1" shapeId="0" xr:uid="{3D6AE606-9626-471E-964E-68C35E999F4E}">
      <text>
        <r>
          <rPr>
            <sz val="11"/>
            <color theme="1"/>
            <rFont val="Aptos Narrow"/>
            <family val="2"/>
            <scheme val="minor"/>
          </rPr>
          <t>Introducir un texto con el nombre o referencia de la contratación</t>
        </r>
      </text>
    </comment>
    <comment ref="B79" authorId="1" shapeId="0" xr:uid="{5A177F39-D51B-489C-9BF5-78F06B89E313}">
      <text>
        <r>
          <rPr>
            <sz val="11"/>
            <color theme="1"/>
            <rFont val="Aptos Narrow"/>
            <family val="2"/>
            <scheme val="minor"/>
          </rPr>
          <t>Introduzca un texto con la finalidad de la contratación</t>
        </r>
      </text>
    </comment>
    <comment ref="C79" authorId="1" shapeId="0" xr:uid="{68A714A1-EF16-4473-9F15-C83A4E4AB24B}">
      <text>
        <r>
          <rPr>
            <sz val="11"/>
            <color theme="1"/>
            <rFont val="Aptos Narrow"/>
            <family val="2"/>
            <scheme val="minor"/>
          </rPr>
          <t>Seleccionar un valor del listado</t>
        </r>
      </text>
    </comment>
    <comment ref="D79" authorId="1" shapeId="0" xr:uid="{FE229DBB-CDDC-4653-BF73-D8FC96A032A8}">
      <text>
        <r>
          <rPr>
            <sz val="11"/>
            <color theme="1"/>
            <rFont val="Aptos Narrow"/>
            <family val="2"/>
            <scheme val="minor"/>
          </rPr>
          <t>Seleccione el tipo de procedimiento</t>
        </r>
      </text>
    </comment>
    <comment ref="E79" authorId="1" shapeId="0" xr:uid="{6A8A2EDE-1CCC-4079-B4C9-0BE64687834D}">
      <text>
        <r>
          <rPr>
            <sz val="11"/>
            <color theme="1"/>
            <rFont val="Aptos Narrow"/>
            <family val="2"/>
            <scheme val="minor"/>
          </rPr>
          <t>Seleccione un valor de la lista</t>
        </r>
      </text>
    </comment>
    <comment ref="F79" authorId="1" shapeId="0" xr:uid="{75581E21-A7BE-44DC-9320-9B5A86929581}">
      <text>
        <r>
          <rPr>
            <sz val="11"/>
            <color theme="1"/>
            <rFont val="Aptos Narrow"/>
            <family val="2"/>
            <scheme val="minor"/>
          </rPr>
          <t>Introduzca el código SNIP</t>
        </r>
      </text>
    </comment>
    <comment ref="C80" authorId="1" shapeId="0" xr:uid="{AC9929DE-2CD0-463D-A982-137A80DE8BB4}">
      <text>
        <r>
          <rPr>
            <sz val="11"/>
            <color theme="1"/>
            <rFont val="Aptos Narrow"/>
            <family val="2"/>
            <scheme val="minor"/>
          </rPr>
          <t>Introduzca la fecha de inicio del proceso, en formato dd-mm-aaaa</t>
        </r>
      </text>
    </comment>
    <comment ref="F80" authorId="1" shapeId="0" xr:uid="{F28E0B76-662A-463E-B623-BC2D926C039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1" authorId="1" shapeId="0" xr:uid="{01AC4BD7-5937-4031-B317-ED4AE6FA7CF2}">
      <text/>
    </comment>
    <comment ref="C82" authorId="1" shapeId="0" xr:uid="{3EC13168-753F-4362-9972-46F73B7A0409}">
      <text>
        <r>
          <rPr>
            <sz val="11"/>
            <color theme="1"/>
            <rFont val="Aptos Narrow"/>
            <family val="2"/>
            <scheme val="minor"/>
          </rPr>
          <t>Introduzca la fecha prevista de adjudicación, en formato dd-mm-aaaa</t>
        </r>
      </text>
    </comment>
    <comment ref="F82" authorId="1" shapeId="0" xr:uid="{272CEF26-4E63-4D3C-BAA9-33ABBEE77F7F}">
      <text/>
    </comment>
    <comment ref="F83" authorId="1" shapeId="0" xr:uid="{172A6898-0520-4265-8AF4-974C4338F221}">
      <text/>
    </comment>
    <comment ref="A85" authorId="1" shapeId="0" xr:uid="{3574D644-9419-4E5F-BD5A-C80D5A27E5DD}">
      <text>
        <r>
          <rPr>
            <sz val="11"/>
            <color theme="1"/>
            <rFont val="Aptos Narrow"/>
            <family val="2"/>
            <scheme val="minor"/>
          </rPr>
          <t>Introduzca un codigo UNSPSC</t>
        </r>
      </text>
    </comment>
    <comment ref="B85" authorId="1" shapeId="0" xr:uid="{C5CC684D-0203-4662-B441-8153443D4C95}">
      <text>
        <r>
          <rPr>
            <sz val="11"/>
            <color theme="1"/>
            <rFont val="Aptos Narrow"/>
            <family val="2"/>
            <scheme val="minor"/>
          </rPr>
          <t>Descripción calculada automáticamente a partir de código del artículo</t>
        </r>
      </text>
    </comment>
    <comment ref="C85" authorId="1" shapeId="0" xr:uid="{18A3F64F-8766-4E4D-B7FA-13AB49AA1C28}">
      <text>
        <r>
          <rPr>
            <sz val="11"/>
            <color theme="1"/>
            <rFont val="Aptos Narrow"/>
            <family val="2"/>
            <scheme val="minor"/>
          </rPr>
          <t>Seleccione un valor de la lista</t>
        </r>
      </text>
    </comment>
    <comment ref="D85" authorId="1" shapeId="0" xr:uid="{799577A5-F346-4778-BAB4-54FE5B2A8696}">
      <text>
        <r>
          <rPr>
            <sz val="11"/>
            <color theme="1"/>
            <rFont val="Aptos Narrow"/>
            <family val="2"/>
            <scheme val="minor"/>
          </rPr>
          <t>Introduzca un número con dos decimales como máximo. Debe ser igual o mayor a la "Cantidad Real Consumida"</t>
        </r>
      </text>
    </comment>
    <comment ref="E85" authorId="1" shapeId="0" xr:uid="{053C255F-9FC0-4F94-93CD-44E253012CFA}">
      <text>
        <r>
          <rPr>
            <sz val="11"/>
            <color theme="1"/>
            <rFont val="Aptos Narrow"/>
            <family val="2"/>
            <scheme val="minor"/>
          </rPr>
          <t>Introduzca un número con dos decimales como máximo</t>
        </r>
      </text>
    </comment>
    <comment ref="F85" authorId="1" shapeId="0" xr:uid="{AB4F695C-0A0C-4E90-81C6-4194CF7C9547}">
      <text>
        <r>
          <rPr>
            <sz val="11"/>
            <color theme="1"/>
            <rFont val="Aptos Narrow"/>
            <family val="2"/>
            <scheme val="minor"/>
          </rPr>
          <t>Monto calculado automáticamente por el sistema</t>
        </r>
      </text>
    </comment>
    <comment ref="A90" authorId="1" shapeId="0" xr:uid="{7150287D-4DE4-49EF-8E04-B2036E5CF449}">
      <text>
        <r>
          <rPr>
            <sz val="11"/>
            <color theme="1"/>
            <rFont val="Aptos Narrow"/>
            <family val="2"/>
            <scheme val="minor"/>
          </rPr>
          <t>Introducir un texto con el nombre o referencia de la contratación</t>
        </r>
      </text>
    </comment>
    <comment ref="B90" authorId="1" shapeId="0" xr:uid="{0F75ED98-3C55-4E66-B61E-DA1F2FB066A2}">
      <text>
        <r>
          <rPr>
            <sz val="11"/>
            <color theme="1"/>
            <rFont val="Aptos Narrow"/>
            <family val="2"/>
            <scheme val="minor"/>
          </rPr>
          <t>Introduzca un texto con la finalidad de la contratación</t>
        </r>
      </text>
    </comment>
    <comment ref="C90" authorId="1" shapeId="0" xr:uid="{7A47379F-6EEF-4EE5-B011-AF0A1C666B42}">
      <text>
        <r>
          <rPr>
            <sz val="11"/>
            <color theme="1"/>
            <rFont val="Aptos Narrow"/>
            <family val="2"/>
            <scheme val="minor"/>
          </rPr>
          <t>Seleccionar un valor del listado</t>
        </r>
      </text>
    </comment>
    <comment ref="D90" authorId="1" shapeId="0" xr:uid="{72F373EE-4A8D-425D-A0E9-B39958C46B4E}">
      <text>
        <r>
          <rPr>
            <sz val="11"/>
            <color theme="1"/>
            <rFont val="Aptos Narrow"/>
            <family val="2"/>
            <scheme val="minor"/>
          </rPr>
          <t>Seleccione el tipo de procedimiento</t>
        </r>
      </text>
    </comment>
    <comment ref="E90" authorId="1" shapeId="0" xr:uid="{BD9B23B6-D725-4A14-A899-3DADE3BF92A0}">
      <text>
        <r>
          <rPr>
            <sz val="11"/>
            <color theme="1"/>
            <rFont val="Aptos Narrow"/>
            <family val="2"/>
            <scheme val="minor"/>
          </rPr>
          <t>Seleccione un valor de la lista</t>
        </r>
      </text>
    </comment>
    <comment ref="F90" authorId="1" shapeId="0" xr:uid="{F77AC067-E596-4649-B774-89BFB12B20D4}">
      <text>
        <r>
          <rPr>
            <sz val="11"/>
            <color theme="1"/>
            <rFont val="Aptos Narrow"/>
            <family val="2"/>
            <scheme val="minor"/>
          </rPr>
          <t>Introduzca el código SNIP</t>
        </r>
      </text>
    </comment>
    <comment ref="C91" authorId="1" shapeId="0" xr:uid="{397FA546-195D-4DA9-9FD3-530CFC18FBAE}">
      <text>
        <r>
          <rPr>
            <sz val="11"/>
            <color theme="1"/>
            <rFont val="Aptos Narrow"/>
            <family val="2"/>
            <scheme val="minor"/>
          </rPr>
          <t>Introduzca la fecha de inicio del proceso, en formato dd-mm-aaaa</t>
        </r>
      </text>
    </comment>
    <comment ref="F91" authorId="1" shapeId="0" xr:uid="{5D0D3864-6FC2-4790-AB17-C8DFD88696A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2" authorId="1" shapeId="0" xr:uid="{F2B55613-38EF-4788-90F3-6DF7B4F84E84}">
      <text/>
    </comment>
    <comment ref="C93" authorId="1" shapeId="0" xr:uid="{5F5EAE41-5D26-4897-9415-55444249CCFD}">
      <text>
        <r>
          <rPr>
            <sz val="11"/>
            <color theme="1"/>
            <rFont val="Aptos Narrow"/>
            <family val="2"/>
            <scheme val="minor"/>
          </rPr>
          <t>Introduzca la fecha prevista de adjudicación, en formato dd-mm-aaaa</t>
        </r>
      </text>
    </comment>
    <comment ref="F93" authorId="1" shapeId="0" xr:uid="{B5A80714-608C-425F-BE43-BFC8BB81E62B}">
      <text/>
    </comment>
    <comment ref="F94" authorId="1" shapeId="0" xr:uid="{18792D09-731D-4453-B6A3-D37F5E5494AE}">
      <text/>
    </comment>
    <comment ref="A96" authorId="1" shapeId="0" xr:uid="{08733BBD-3949-4B3D-B356-81810560926A}">
      <text>
        <r>
          <rPr>
            <sz val="11"/>
            <color theme="1"/>
            <rFont val="Aptos Narrow"/>
            <family val="2"/>
            <scheme val="minor"/>
          </rPr>
          <t>Introduzca un codigo UNSPSC</t>
        </r>
      </text>
    </comment>
    <comment ref="B96" authorId="1" shapeId="0" xr:uid="{9B1CFAD7-7FEF-4A8B-9EC5-7612434D56D2}">
      <text>
        <r>
          <rPr>
            <sz val="11"/>
            <color theme="1"/>
            <rFont val="Aptos Narrow"/>
            <family val="2"/>
            <scheme val="minor"/>
          </rPr>
          <t>Descripción calculada automáticamente a partir de código del artículo</t>
        </r>
      </text>
    </comment>
    <comment ref="C96" authorId="1" shapeId="0" xr:uid="{2DB0CEF0-83A6-4F66-8087-50CD5F691191}">
      <text>
        <r>
          <rPr>
            <sz val="11"/>
            <color theme="1"/>
            <rFont val="Aptos Narrow"/>
            <family val="2"/>
            <scheme val="minor"/>
          </rPr>
          <t>Seleccione un valor de la lista</t>
        </r>
      </text>
    </comment>
    <comment ref="D96" authorId="1" shapeId="0" xr:uid="{84536123-F6AB-4BA8-9C8C-150909002BDF}">
      <text>
        <r>
          <rPr>
            <sz val="11"/>
            <color theme="1"/>
            <rFont val="Aptos Narrow"/>
            <family val="2"/>
            <scheme val="minor"/>
          </rPr>
          <t>Introduzca un número con dos decimales como máximo. Debe ser igual o mayor a la "Cantidad Real Consumida"</t>
        </r>
      </text>
    </comment>
    <comment ref="E96" authorId="1" shapeId="0" xr:uid="{574D8D92-D2F7-4B09-9888-EC520097FA60}">
      <text>
        <r>
          <rPr>
            <sz val="11"/>
            <color theme="1"/>
            <rFont val="Aptos Narrow"/>
            <family val="2"/>
            <scheme val="minor"/>
          </rPr>
          <t>Introduzca un número con dos decimales como máximo</t>
        </r>
      </text>
    </comment>
    <comment ref="F96" authorId="1" shapeId="0" xr:uid="{B7C3AF70-A665-456F-9060-D080E24B7D60}">
      <text>
        <r>
          <rPr>
            <sz val="11"/>
            <color theme="1"/>
            <rFont val="Aptos Narrow"/>
            <family val="2"/>
            <scheme val="minor"/>
          </rPr>
          <t>Monto calculado automáticamente por el sistema</t>
        </r>
      </text>
    </comment>
    <comment ref="A102" authorId="1" shapeId="0" xr:uid="{0667F53A-E7A2-4888-82DB-1AB1265B4BF6}">
      <text>
        <r>
          <rPr>
            <sz val="11"/>
            <color theme="1"/>
            <rFont val="Aptos Narrow"/>
            <family val="2"/>
            <scheme val="minor"/>
          </rPr>
          <t>Introducir un texto con el nombre o referencia de la contratación</t>
        </r>
      </text>
    </comment>
    <comment ref="B102" authorId="1" shapeId="0" xr:uid="{7D6C2BBC-8035-40FB-BE73-CCCB5CB75075}">
      <text>
        <r>
          <rPr>
            <sz val="11"/>
            <color theme="1"/>
            <rFont val="Aptos Narrow"/>
            <family val="2"/>
            <scheme val="minor"/>
          </rPr>
          <t>Introduzca un texto con la finalidad de la contratación</t>
        </r>
      </text>
    </comment>
    <comment ref="C102" authorId="1" shapeId="0" xr:uid="{2B750F31-C526-4EA5-A2CB-D0444FA5631E}">
      <text>
        <r>
          <rPr>
            <sz val="11"/>
            <color theme="1"/>
            <rFont val="Aptos Narrow"/>
            <family val="2"/>
            <scheme val="minor"/>
          </rPr>
          <t>Seleccionar un valor del listado</t>
        </r>
      </text>
    </comment>
    <comment ref="D102" authorId="1" shapeId="0" xr:uid="{41F09D92-25B5-4C9F-A753-16D8EA39F6CE}">
      <text>
        <r>
          <rPr>
            <sz val="11"/>
            <color theme="1"/>
            <rFont val="Aptos Narrow"/>
            <family val="2"/>
            <scheme val="minor"/>
          </rPr>
          <t>Seleccione el tipo de procedimiento</t>
        </r>
      </text>
    </comment>
    <comment ref="E102" authorId="1" shapeId="0" xr:uid="{11F55453-99D8-46B0-B40B-3F54CF2287B7}">
      <text>
        <r>
          <rPr>
            <sz val="11"/>
            <color theme="1"/>
            <rFont val="Aptos Narrow"/>
            <family val="2"/>
            <scheme val="minor"/>
          </rPr>
          <t>Seleccione un valor de la lista</t>
        </r>
      </text>
    </comment>
    <comment ref="F102" authorId="1" shapeId="0" xr:uid="{16FE462F-6AB9-42C1-A1B8-11274E76122B}">
      <text>
        <r>
          <rPr>
            <sz val="11"/>
            <color theme="1"/>
            <rFont val="Aptos Narrow"/>
            <family val="2"/>
            <scheme val="minor"/>
          </rPr>
          <t>Introduzca el código SNIP</t>
        </r>
      </text>
    </comment>
    <comment ref="C103" authorId="1" shapeId="0" xr:uid="{3CCEFC27-8939-4612-AC95-DD77B86341F2}">
      <text>
        <r>
          <rPr>
            <sz val="11"/>
            <color theme="1"/>
            <rFont val="Aptos Narrow"/>
            <family val="2"/>
            <scheme val="minor"/>
          </rPr>
          <t>Introduzca la fecha de inicio del proceso, en formato dd-mm-aaaa</t>
        </r>
      </text>
    </comment>
    <comment ref="F103" authorId="1" shapeId="0" xr:uid="{B55223C6-868F-4335-85F9-757DF967517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4" authorId="1" shapeId="0" xr:uid="{B4EF5237-DA8B-41DB-8752-747DBDCFB2E9}">
      <text/>
    </comment>
    <comment ref="C105" authorId="1" shapeId="0" xr:uid="{95AF52D9-BBF9-4DFA-8D24-901C843C2779}">
      <text>
        <r>
          <rPr>
            <sz val="11"/>
            <color theme="1"/>
            <rFont val="Aptos Narrow"/>
            <family val="2"/>
            <scheme val="minor"/>
          </rPr>
          <t>Introduzca la fecha prevista de adjudicación, en formato dd-mm-aaaa</t>
        </r>
      </text>
    </comment>
    <comment ref="F105" authorId="1" shapeId="0" xr:uid="{4398BC48-3877-44C0-A506-9028AF194950}">
      <text/>
    </comment>
    <comment ref="F106" authorId="1" shapeId="0" xr:uid="{3EBA812C-F5EE-4DC7-9EBB-727DB93EE2ED}">
      <text/>
    </comment>
    <comment ref="A108" authorId="1" shapeId="0" xr:uid="{3A2FEC54-87AE-4E29-B04B-49758BCFC8A9}">
      <text>
        <r>
          <rPr>
            <sz val="11"/>
            <color theme="1"/>
            <rFont val="Aptos Narrow"/>
            <family val="2"/>
            <scheme val="minor"/>
          </rPr>
          <t>Introduzca un codigo UNSPSC</t>
        </r>
      </text>
    </comment>
    <comment ref="B108" authorId="1" shapeId="0" xr:uid="{E42774E5-F7E7-4660-8887-169EBC606417}">
      <text>
        <r>
          <rPr>
            <sz val="11"/>
            <color theme="1"/>
            <rFont val="Aptos Narrow"/>
            <family val="2"/>
            <scheme val="minor"/>
          </rPr>
          <t>Descripción calculada automáticamente a partir de código del artículo</t>
        </r>
      </text>
    </comment>
    <comment ref="C108" authorId="1" shapeId="0" xr:uid="{B6D65BA2-EF3C-496C-91B3-EC228E9DD91E}">
      <text>
        <r>
          <rPr>
            <sz val="11"/>
            <color theme="1"/>
            <rFont val="Aptos Narrow"/>
            <family val="2"/>
            <scheme val="minor"/>
          </rPr>
          <t>Seleccione un valor de la lista</t>
        </r>
      </text>
    </comment>
    <comment ref="D108" authorId="1" shapeId="0" xr:uid="{6F2DCD1A-713E-44F1-BDFD-76628C45B8A0}">
      <text>
        <r>
          <rPr>
            <sz val="11"/>
            <color theme="1"/>
            <rFont val="Aptos Narrow"/>
            <family val="2"/>
            <scheme val="minor"/>
          </rPr>
          <t>Introduzca un número con dos decimales como máximo. Debe ser igual o mayor a la "Cantidad Real Consumida"</t>
        </r>
      </text>
    </comment>
    <comment ref="E108" authorId="1" shapeId="0" xr:uid="{8B16B562-0B32-461C-9B19-5D291FD61346}">
      <text>
        <r>
          <rPr>
            <sz val="11"/>
            <color theme="1"/>
            <rFont val="Aptos Narrow"/>
            <family val="2"/>
            <scheme val="minor"/>
          </rPr>
          <t>Introduzca un número con dos decimales como máximo</t>
        </r>
      </text>
    </comment>
    <comment ref="F108" authorId="1" shapeId="0" xr:uid="{D5C1B82B-D1EA-43C0-8FD7-55BD88122A53}">
      <text>
        <r>
          <rPr>
            <sz val="11"/>
            <color theme="1"/>
            <rFont val="Aptos Narrow"/>
            <family val="2"/>
            <scheme val="minor"/>
          </rPr>
          <t>Monto calculado automáticamente por el sistema</t>
        </r>
      </text>
    </comment>
    <comment ref="A115" authorId="1" shapeId="0" xr:uid="{ED002EAB-AF9C-47F1-BA2A-240A2FE82153}">
      <text>
        <r>
          <rPr>
            <sz val="11"/>
            <color theme="1"/>
            <rFont val="Aptos Narrow"/>
            <family val="2"/>
            <scheme val="minor"/>
          </rPr>
          <t>Introducir un texto con el nombre o referencia de la contratación</t>
        </r>
      </text>
    </comment>
    <comment ref="B115" authorId="1" shapeId="0" xr:uid="{1308337F-48E9-44D4-9601-1565DF31429C}">
      <text>
        <r>
          <rPr>
            <sz val="11"/>
            <color theme="1"/>
            <rFont val="Aptos Narrow"/>
            <family val="2"/>
            <scheme val="minor"/>
          </rPr>
          <t>Introduzca un texto con la finalidad de la contratación</t>
        </r>
      </text>
    </comment>
    <comment ref="C115" authorId="1" shapeId="0" xr:uid="{C619CCD8-7BD3-437D-A037-F57FFBC62801}">
      <text>
        <r>
          <rPr>
            <sz val="11"/>
            <color theme="1"/>
            <rFont val="Aptos Narrow"/>
            <family val="2"/>
            <scheme val="minor"/>
          </rPr>
          <t>Seleccionar un valor del listado</t>
        </r>
      </text>
    </comment>
    <comment ref="D115" authorId="1" shapeId="0" xr:uid="{909FC23B-95BF-4A79-B770-BDF15BCB87F4}">
      <text>
        <r>
          <rPr>
            <sz val="11"/>
            <color theme="1"/>
            <rFont val="Aptos Narrow"/>
            <family val="2"/>
            <scheme val="minor"/>
          </rPr>
          <t>Seleccione el tipo de procedimiento</t>
        </r>
      </text>
    </comment>
    <comment ref="E115" authorId="1" shapeId="0" xr:uid="{35A1B381-548E-4317-8E21-D737255F0753}">
      <text>
        <r>
          <rPr>
            <sz val="11"/>
            <color theme="1"/>
            <rFont val="Aptos Narrow"/>
            <family val="2"/>
            <scheme val="minor"/>
          </rPr>
          <t>Seleccione un valor de la lista</t>
        </r>
      </text>
    </comment>
    <comment ref="F115" authorId="1" shapeId="0" xr:uid="{40B8A065-BDB6-413E-96F6-6F9346365397}">
      <text>
        <r>
          <rPr>
            <sz val="11"/>
            <color theme="1"/>
            <rFont val="Aptos Narrow"/>
            <family val="2"/>
            <scheme val="minor"/>
          </rPr>
          <t>Introduzca el código SNIP</t>
        </r>
      </text>
    </comment>
    <comment ref="C116" authorId="1" shapeId="0" xr:uid="{0E812C08-3B7E-4D4B-8D38-DADA0BAD3E77}">
      <text>
        <r>
          <rPr>
            <sz val="11"/>
            <color theme="1"/>
            <rFont val="Aptos Narrow"/>
            <family val="2"/>
            <scheme val="minor"/>
          </rPr>
          <t>Introduzca la fecha de inicio del proceso, en formato dd-mm-aaaa</t>
        </r>
      </text>
    </comment>
    <comment ref="F116" authorId="1" shapeId="0" xr:uid="{C3DC8DC7-97B6-4929-B450-CBB9B119978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7" authorId="1" shapeId="0" xr:uid="{FBCDE02F-F7CC-4CFA-9EE1-FCBE54DFF508}">
      <text/>
    </comment>
    <comment ref="C118" authorId="1" shapeId="0" xr:uid="{5396C44B-5747-46A7-A3FC-7F9F99858817}">
      <text>
        <r>
          <rPr>
            <sz val="11"/>
            <color theme="1"/>
            <rFont val="Aptos Narrow"/>
            <family val="2"/>
            <scheme val="minor"/>
          </rPr>
          <t>Introduzca la fecha prevista de adjudicación, en formato dd-mm-aaaa</t>
        </r>
      </text>
    </comment>
    <comment ref="F118" authorId="1" shapeId="0" xr:uid="{E8D6131E-02E0-48A1-A04D-ECA3F461E81F}">
      <text/>
    </comment>
    <comment ref="F119" authorId="1" shapeId="0" xr:uid="{060A6D2E-E78B-4582-884F-DCCCC90B2923}">
      <text/>
    </comment>
    <comment ref="A121" authorId="1" shapeId="0" xr:uid="{17E56382-FFF8-456A-8EE7-9BF2B9D477DF}">
      <text>
        <r>
          <rPr>
            <sz val="11"/>
            <color theme="1"/>
            <rFont val="Aptos Narrow"/>
            <family val="2"/>
            <scheme val="minor"/>
          </rPr>
          <t>Introduzca un codigo UNSPSC</t>
        </r>
      </text>
    </comment>
    <comment ref="B121" authorId="1" shapeId="0" xr:uid="{910D760F-58AE-4177-8E7E-CD3A0C63E4EF}">
      <text>
        <r>
          <rPr>
            <sz val="11"/>
            <color theme="1"/>
            <rFont val="Aptos Narrow"/>
            <family val="2"/>
            <scheme val="minor"/>
          </rPr>
          <t>Descripción calculada automáticamente a partir de código del artículo</t>
        </r>
      </text>
    </comment>
    <comment ref="C121" authorId="1" shapeId="0" xr:uid="{FD403258-A5FE-496B-B83E-873BB4CF22A9}">
      <text>
        <r>
          <rPr>
            <sz val="11"/>
            <color theme="1"/>
            <rFont val="Aptos Narrow"/>
            <family val="2"/>
            <scheme val="minor"/>
          </rPr>
          <t>Seleccione un valor de la lista</t>
        </r>
      </text>
    </comment>
    <comment ref="D121" authorId="1" shapeId="0" xr:uid="{7337C41E-76E6-45DC-88A2-79BAD1417203}">
      <text>
        <r>
          <rPr>
            <sz val="11"/>
            <color theme="1"/>
            <rFont val="Aptos Narrow"/>
            <family val="2"/>
            <scheme val="minor"/>
          </rPr>
          <t>Introduzca un número con dos decimales como máximo. Debe ser igual o mayor a la "Cantidad Real Consumida"</t>
        </r>
      </text>
    </comment>
    <comment ref="E121" authorId="1" shapeId="0" xr:uid="{39735948-08C0-4312-BA75-8D09453F6DF9}">
      <text>
        <r>
          <rPr>
            <sz val="11"/>
            <color theme="1"/>
            <rFont val="Aptos Narrow"/>
            <family val="2"/>
            <scheme val="minor"/>
          </rPr>
          <t>Introduzca un número con dos decimales como máximo</t>
        </r>
      </text>
    </comment>
    <comment ref="F121" authorId="1" shapeId="0" xr:uid="{4BFE959C-D082-4F03-A6A8-C595E281E567}">
      <text>
        <r>
          <rPr>
            <sz val="11"/>
            <color theme="1"/>
            <rFont val="Aptos Narrow"/>
            <family val="2"/>
            <scheme val="minor"/>
          </rPr>
          <t>Monto calculado automáticamente por el sistema</t>
        </r>
      </text>
    </comment>
    <comment ref="A126" authorId="1" shapeId="0" xr:uid="{494F4740-DF20-4581-908A-379A50F2C5C2}">
      <text>
        <r>
          <rPr>
            <sz val="11"/>
            <color theme="1"/>
            <rFont val="Aptos Narrow"/>
            <family val="2"/>
            <scheme val="minor"/>
          </rPr>
          <t>Introducir un texto con el nombre o referencia de la contratación</t>
        </r>
      </text>
    </comment>
    <comment ref="B126" authorId="1" shapeId="0" xr:uid="{976BC879-D8D0-4E24-98F8-F6CD93C7B62D}">
      <text>
        <r>
          <rPr>
            <sz val="11"/>
            <color theme="1"/>
            <rFont val="Aptos Narrow"/>
            <family val="2"/>
            <scheme val="minor"/>
          </rPr>
          <t>Introduzca un texto con la finalidad de la contratación</t>
        </r>
      </text>
    </comment>
    <comment ref="C126" authorId="1" shapeId="0" xr:uid="{51E0F4E5-69E1-4585-9BFD-3792EF88E189}">
      <text>
        <r>
          <rPr>
            <sz val="11"/>
            <color theme="1"/>
            <rFont val="Aptos Narrow"/>
            <family val="2"/>
            <scheme val="minor"/>
          </rPr>
          <t>Seleccionar un valor del listado</t>
        </r>
      </text>
    </comment>
    <comment ref="D126" authorId="1" shapeId="0" xr:uid="{A2E87D61-9E89-436B-B1BB-B1CC08EEE4BD}">
      <text>
        <r>
          <rPr>
            <sz val="11"/>
            <color theme="1"/>
            <rFont val="Aptos Narrow"/>
            <family val="2"/>
            <scheme val="minor"/>
          </rPr>
          <t>Seleccione el tipo de procedimiento</t>
        </r>
      </text>
    </comment>
    <comment ref="E126" authorId="1" shapeId="0" xr:uid="{8A637EAB-6AE8-4D9B-9024-61757AD93D88}">
      <text>
        <r>
          <rPr>
            <sz val="11"/>
            <color theme="1"/>
            <rFont val="Aptos Narrow"/>
            <family val="2"/>
            <scheme val="minor"/>
          </rPr>
          <t>Seleccione un valor de la lista</t>
        </r>
      </text>
    </comment>
    <comment ref="F126" authorId="1" shapeId="0" xr:uid="{3E4451A7-95BF-424E-A64C-7E0C6E82E5A9}">
      <text>
        <r>
          <rPr>
            <sz val="11"/>
            <color theme="1"/>
            <rFont val="Aptos Narrow"/>
            <family val="2"/>
            <scheme val="minor"/>
          </rPr>
          <t>Introduzca el código SNIP</t>
        </r>
      </text>
    </comment>
    <comment ref="C127" authorId="1" shapeId="0" xr:uid="{787DB637-8F75-43BE-AB1A-6D295E1C657D}">
      <text>
        <r>
          <rPr>
            <sz val="11"/>
            <color theme="1"/>
            <rFont val="Aptos Narrow"/>
            <family val="2"/>
            <scheme val="minor"/>
          </rPr>
          <t>Introduzca la fecha de inicio del proceso, en formato dd-mm-aaaa</t>
        </r>
      </text>
    </comment>
    <comment ref="F127" authorId="1" shapeId="0" xr:uid="{B819F544-9BD0-4055-A4EA-3B967039B0D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8" authorId="1" shapeId="0" xr:uid="{F9D9FAF4-F0D7-4B0E-BCF7-BEC7EF8ED82A}">
      <text/>
    </comment>
    <comment ref="C129" authorId="1" shapeId="0" xr:uid="{801FAF31-7D99-4634-AC9D-682323F0E685}">
      <text>
        <r>
          <rPr>
            <sz val="11"/>
            <color theme="1"/>
            <rFont val="Aptos Narrow"/>
            <family val="2"/>
            <scheme val="minor"/>
          </rPr>
          <t>Introduzca la fecha prevista de adjudicación, en formato dd-mm-aaaa</t>
        </r>
      </text>
    </comment>
    <comment ref="F129" authorId="1" shapeId="0" xr:uid="{E003ECC6-9098-4332-9A55-0480505DC85F}">
      <text/>
    </comment>
    <comment ref="F130" authorId="1" shapeId="0" xr:uid="{8841EC6E-87FA-47AF-9AF6-0640A7220416}">
      <text/>
    </comment>
    <comment ref="A132" authorId="1" shapeId="0" xr:uid="{1E010B20-8101-4ED5-8F03-9BDF115060BC}">
      <text>
        <r>
          <rPr>
            <sz val="11"/>
            <color theme="1"/>
            <rFont val="Aptos Narrow"/>
            <family val="2"/>
            <scheme val="minor"/>
          </rPr>
          <t>Introduzca un codigo UNSPSC</t>
        </r>
      </text>
    </comment>
    <comment ref="B132" authorId="1" shapeId="0" xr:uid="{940FE89E-4C81-42E2-B5C3-198AC154BF8A}">
      <text>
        <r>
          <rPr>
            <sz val="11"/>
            <color theme="1"/>
            <rFont val="Aptos Narrow"/>
            <family val="2"/>
            <scheme val="minor"/>
          </rPr>
          <t>Descripción calculada automáticamente a partir de código del artículo</t>
        </r>
      </text>
    </comment>
    <comment ref="C132" authorId="1" shapeId="0" xr:uid="{64DAA2E2-593F-4CA0-BEE2-A97258A2103B}">
      <text>
        <r>
          <rPr>
            <sz val="11"/>
            <color theme="1"/>
            <rFont val="Aptos Narrow"/>
            <family val="2"/>
            <scheme val="minor"/>
          </rPr>
          <t>Seleccione un valor de la lista</t>
        </r>
      </text>
    </comment>
    <comment ref="D132" authorId="1" shapeId="0" xr:uid="{0E6C902E-4111-4761-9409-3583BBD34F45}">
      <text>
        <r>
          <rPr>
            <sz val="11"/>
            <color theme="1"/>
            <rFont val="Aptos Narrow"/>
            <family val="2"/>
            <scheme val="minor"/>
          </rPr>
          <t>Introduzca un número con dos decimales como máximo. Debe ser igual o mayor a la "Cantidad Real Consumida"</t>
        </r>
      </text>
    </comment>
    <comment ref="E132" authorId="1" shapeId="0" xr:uid="{842A95EB-56D4-4E13-BA21-64B74FA342BF}">
      <text>
        <r>
          <rPr>
            <sz val="11"/>
            <color theme="1"/>
            <rFont val="Aptos Narrow"/>
            <family val="2"/>
            <scheme val="minor"/>
          </rPr>
          <t>Introduzca un número con dos decimales como máximo</t>
        </r>
      </text>
    </comment>
    <comment ref="F132" authorId="1" shapeId="0" xr:uid="{7F0F6E90-3214-4112-8911-A8A6AE45226E}">
      <text>
        <r>
          <rPr>
            <sz val="11"/>
            <color theme="1"/>
            <rFont val="Aptos Narrow"/>
            <family val="2"/>
            <scheme val="minor"/>
          </rPr>
          <t>Monto calculado automáticamente por el sistema</t>
        </r>
      </text>
    </comment>
    <comment ref="A142" authorId="1" shapeId="0" xr:uid="{5867B793-E209-4CCA-B818-2D30EA19A6F5}">
      <text>
        <r>
          <rPr>
            <sz val="11"/>
            <color theme="1"/>
            <rFont val="Aptos Narrow"/>
            <family val="2"/>
            <scheme val="minor"/>
          </rPr>
          <t>Introducir un texto con el nombre o referencia de la contratación</t>
        </r>
      </text>
    </comment>
    <comment ref="B142" authorId="1" shapeId="0" xr:uid="{45A1B75D-801B-41CE-961D-9E4CAD8D8AB2}">
      <text>
        <r>
          <rPr>
            <sz val="11"/>
            <color theme="1"/>
            <rFont val="Aptos Narrow"/>
            <family val="2"/>
            <scheme val="minor"/>
          </rPr>
          <t>Introduzca un texto con la finalidad de la contratación</t>
        </r>
      </text>
    </comment>
    <comment ref="C142" authorId="1" shapeId="0" xr:uid="{95AD7F81-6F5B-4C88-A0B9-9D5CB9CFFEF8}">
      <text>
        <r>
          <rPr>
            <sz val="11"/>
            <color theme="1"/>
            <rFont val="Aptos Narrow"/>
            <family val="2"/>
            <scheme val="minor"/>
          </rPr>
          <t>Seleccionar un valor del listado</t>
        </r>
      </text>
    </comment>
    <comment ref="D142" authorId="1" shapeId="0" xr:uid="{40219139-6E90-4941-9A9C-CE5E6A25E4EC}">
      <text>
        <r>
          <rPr>
            <sz val="11"/>
            <color theme="1"/>
            <rFont val="Aptos Narrow"/>
            <family val="2"/>
            <scheme val="minor"/>
          </rPr>
          <t>Seleccione el tipo de procedimiento</t>
        </r>
      </text>
    </comment>
    <comment ref="E142" authorId="1" shapeId="0" xr:uid="{3B5FB49A-6E3B-494D-82BD-9B238C426A41}">
      <text>
        <r>
          <rPr>
            <sz val="11"/>
            <color theme="1"/>
            <rFont val="Aptos Narrow"/>
            <family val="2"/>
            <scheme val="minor"/>
          </rPr>
          <t>Seleccione un valor de la lista</t>
        </r>
      </text>
    </comment>
    <comment ref="F142" authorId="1" shapeId="0" xr:uid="{A4CB2305-06E1-4138-914D-33484A535C86}">
      <text>
        <r>
          <rPr>
            <sz val="11"/>
            <color theme="1"/>
            <rFont val="Aptos Narrow"/>
            <family val="2"/>
            <scheme val="minor"/>
          </rPr>
          <t>Introduzca el código SNIP</t>
        </r>
      </text>
    </comment>
    <comment ref="C143" authorId="1" shapeId="0" xr:uid="{6090653A-4BF6-4070-9216-BA448F3DDE83}">
      <text>
        <r>
          <rPr>
            <sz val="11"/>
            <color theme="1"/>
            <rFont val="Aptos Narrow"/>
            <family val="2"/>
            <scheme val="minor"/>
          </rPr>
          <t>Introduzca la fecha de inicio del proceso, en formato dd-mm-aaaa</t>
        </r>
      </text>
    </comment>
    <comment ref="F143" authorId="1" shapeId="0" xr:uid="{0AD26822-B45C-4DD7-B160-E25175BE7B8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4" authorId="1" shapeId="0" xr:uid="{BF0789F6-57C1-4890-A6C9-745FEEE7207B}">
      <text/>
    </comment>
    <comment ref="C145" authorId="1" shapeId="0" xr:uid="{2D44E4E8-9135-45BA-9AA1-09D779FFBD17}">
      <text>
        <r>
          <rPr>
            <sz val="11"/>
            <color theme="1"/>
            <rFont val="Aptos Narrow"/>
            <family val="2"/>
            <scheme val="minor"/>
          </rPr>
          <t>Introduzca la fecha prevista de adjudicación, en formato dd-mm-aaaa</t>
        </r>
      </text>
    </comment>
    <comment ref="F145" authorId="1" shapeId="0" xr:uid="{31E90E8E-4EFF-4F09-BD5D-FE1BBBBA7C9B}">
      <text/>
    </comment>
    <comment ref="F146" authorId="1" shapeId="0" xr:uid="{9B62F23D-6CD2-409F-9BE0-5E805123FF54}">
      <text/>
    </comment>
    <comment ref="A148" authorId="1" shapeId="0" xr:uid="{C1A8F141-A7E9-44E8-80F4-FFFF45585A18}">
      <text>
        <r>
          <rPr>
            <sz val="11"/>
            <color theme="1"/>
            <rFont val="Aptos Narrow"/>
            <family val="2"/>
            <scheme val="minor"/>
          </rPr>
          <t>Introduzca un codigo UNSPSC</t>
        </r>
      </text>
    </comment>
    <comment ref="B148" authorId="1" shapeId="0" xr:uid="{E5846416-AF1A-4465-B505-7B85AEE91876}">
      <text>
        <r>
          <rPr>
            <sz val="11"/>
            <color theme="1"/>
            <rFont val="Aptos Narrow"/>
            <family val="2"/>
            <scheme val="minor"/>
          </rPr>
          <t>Descripción calculada automáticamente a partir de código del artículo</t>
        </r>
      </text>
    </comment>
    <comment ref="C148" authorId="1" shapeId="0" xr:uid="{6B956C4B-8BC0-41F4-846B-C6D5470AB4FC}">
      <text>
        <r>
          <rPr>
            <sz val="11"/>
            <color theme="1"/>
            <rFont val="Aptos Narrow"/>
            <family val="2"/>
            <scheme val="minor"/>
          </rPr>
          <t>Seleccione un valor de la lista</t>
        </r>
      </text>
    </comment>
    <comment ref="D148" authorId="1" shapeId="0" xr:uid="{1A2CF9AF-86AE-4C48-92CA-960C5E935609}">
      <text>
        <r>
          <rPr>
            <sz val="11"/>
            <color theme="1"/>
            <rFont val="Aptos Narrow"/>
            <family val="2"/>
            <scheme val="minor"/>
          </rPr>
          <t>Introduzca un número con dos decimales como máximo. Debe ser igual o mayor a la "Cantidad Real Consumida"</t>
        </r>
      </text>
    </comment>
    <comment ref="E148" authorId="1" shapeId="0" xr:uid="{CCCF79AA-B049-4320-B6D9-3F782E824FB8}">
      <text>
        <r>
          <rPr>
            <sz val="11"/>
            <color theme="1"/>
            <rFont val="Aptos Narrow"/>
            <family val="2"/>
            <scheme val="minor"/>
          </rPr>
          <t>Introduzca un número con dos decimales como máximo</t>
        </r>
      </text>
    </comment>
    <comment ref="F148" authorId="1" shapeId="0" xr:uid="{F03E5414-AA8B-446A-B243-D0C77BF7EF75}">
      <text>
        <r>
          <rPr>
            <sz val="11"/>
            <color theme="1"/>
            <rFont val="Aptos Narrow"/>
            <family val="2"/>
            <scheme val="minor"/>
          </rPr>
          <t>Monto calculado automáticamente por el sistema</t>
        </r>
      </text>
    </comment>
    <comment ref="A153" authorId="1" shapeId="0" xr:uid="{45A5612C-63D0-4BCE-99F7-595A64C3F1AC}">
      <text>
        <r>
          <rPr>
            <sz val="11"/>
            <color theme="1"/>
            <rFont val="Aptos Narrow"/>
            <family val="2"/>
            <scheme val="minor"/>
          </rPr>
          <t>Introducir un texto con el nombre o referencia de la contratación</t>
        </r>
      </text>
    </comment>
    <comment ref="B153" authorId="1" shapeId="0" xr:uid="{DB8818EF-9F71-477F-B3E4-3C9C1CDFCB9A}">
      <text>
        <r>
          <rPr>
            <sz val="11"/>
            <color theme="1"/>
            <rFont val="Aptos Narrow"/>
            <family val="2"/>
            <scheme val="minor"/>
          </rPr>
          <t>Introduzca un texto con la finalidad de la contratación</t>
        </r>
      </text>
    </comment>
    <comment ref="C153" authorId="1" shapeId="0" xr:uid="{536CECDF-3FF5-4A30-ADC9-B3144D63F48A}">
      <text>
        <r>
          <rPr>
            <sz val="11"/>
            <color theme="1"/>
            <rFont val="Aptos Narrow"/>
            <family val="2"/>
            <scheme val="minor"/>
          </rPr>
          <t>Seleccionar un valor del listado</t>
        </r>
      </text>
    </comment>
    <comment ref="D153" authorId="1" shapeId="0" xr:uid="{CDF7A6A8-26DE-4F6B-A6C5-9A1E4DCE9147}">
      <text>
        <r>
          <rPr>
            <sz val="11"/>
            <color theme="1"/>
            <rFont val="Aptos Narrow"/>
            <family val="2"/>
            <scheme val="minor"/>
          </rPr>
          <t>Seleccione el tipo de procedimiento</t>
        </r>
      </text>
    </comment>
    <comment ref="E153" authorId="1" shapeId="0" xr:uid="{C81FC658-23AC-4F2B-875A-06C5C01F2CDD}">
      <text>
        <r>
          <rPr>
            <sz val="11"/>
            <color theme="1"/>
            <rFont val="Aptos Narrow"/>
            <family val="2"/>
            <scheme val="minor"/>
          </rPr>
          <t>Seleccione un valor de la lista</t>
        </r>
      </text>
    </comment>
    <comment ref="F153" authorId="1" shapeId="0" xr:uid="{5CC859DF-F70D-478D-8487-9F6A8F328C8B}">
      <text>
        <r>
          <rPr>
            <sz val="11"/>
            <color theme="1"/>
            <rFont val="Aptos Narrow"/>
            <family val="2"/>
            <scheme val="minor"/>
          </rPr>
          <t>Introduzca el código SNIP</t>
        </r>
      </text>
    </comment>
    <comment ref="C154" authorId="1" shapeId="0" xr:uid="{7A74FCB4-2C9E-458D-BE99-812104096090}">
      <text>
        <r>
          <rPr>
            <sz val="11"/>
            <color theme="1"/>
            <rFont val="Aptos Narrow"/>
            <family val="2"/>
            <scheme val="minor"/>
          </rPr>
          <t>Introduzca la fecha de inicio del proceso, en formato dd-mm-aaaa</t>
        </r>
      </text>
    </comment>
    <comment ref="F154" authorId="1" shapeId="0" xr:uid="{D9E51819-4CD3-4BD3-8A3F-C5A8C469A08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5" authorId="1" shapeId="0" xr:uid="{7AA9D40E-C504-45A3-ACC5-8E8575375CC2}">
      <text/>
    </comment>
    <comment ref="C156" authorId="1" shapeId="0" xr:uid="{3659F0B3-61EA-4B4D-8D7A-3CF5E6B86760}">
      <text>
        <r>
          <rPr>
            <sz val="11"/>
            <color theme="1"/>
            <rFont val="Aptos Narrow"/>
            <family val="2"/>
            <scheme val="minor"/>
          </rPr>
          <t>Introduzca la fecha prevista de adjudicación, en formato dd-mm-aaaa</t>
        </r>
      </text>
    </comment>
    <comment ref="F156" authorId="1" shapeId="0" xr:uid="{26FFC2F9-F104-4B99-A1ED-65D4CBEE223C}">
      <text/>
    </comment>
    <comment ref="F157" authorId="1" shapeId="0" xr:uid="{C9BC8F5C-8152-4EEE-96DC-D69FEE9410D9}">
      <text/>
    </comment>
    <comment ref="A159" authorId="1" shapeId="0" xr:uid="{578F2412-9A05-426A-9DE1-FF3FC6A4FD33}">
      <text>
        <r>
          <rPr>
            <sz val="11"/>
            <color theme="1"/>
            <rFont val="Aptos Narrow"/>
            <family val="2"/>
            <scheme val="minor"/>
          </rPr>
          <t>Introduzca un codigo UNSPSC</t>
        </r>
      </text>
    </comment>
    <comment ref="B159" authorId="1" shapeId="0" xr:uid="{9999E8A5-3BB4-4D7D-879D-56F737A72F62}">
      <text>
        <r>
          <rPr>
            <sz val="11"/>
            <color theme="1"/>
            <rFont val="Aptos Narrow"/>
            <family val="2"/>
            <scheme val="minor"/>
          </rPr>
          <t>Descripción calculada automáticamente a partir de código del artículo</t>
        </r>
      </text>
    </comment>
    <comment ref="C159" authorId="1" shapeId="0" xr:uid="{D8800D07-7C98-4DAA-ADE2-C506C24AD6D6}">
      <text>
        <r>
          <rPr>
            <sz val="11"/>
            <color theme="1"/>
            <rFont val="Aptos Narrow"/>
            <family val="2"/>
            <scheme val="minor"/>
          </rPr>
          <t>Seleccione un valor de la lista</t>
        </r>
      </text>
    </comment>
    <comment ref="D159" authorId="1" shapeId="0" xr:uid="{D33387F8-9131-446F-941F-A2E663C1ADDE}">
      <text>
        <r>
          <rPr>
            <sz val="11"/>
            <color theme="1"/>
            <rFont val="Aptos Narrow"/>
            <family val="2"/>
            <scheme val="minor"/>
          </rPr>
          <t>Introduzca un número con dos decimales como máximo. Debe ser igual o mayor a la "Cantidad Real Consumida"</t>
        </r>
      </text>
    </comment>
    <comment ref="E159" authorId="1" shapeId="0" xr:uid="{584DC9F7-D342-40C4-810D-A7DB7C151CF4}">
      <text>
        <r>
          <rPr>
            <sz val="11"/>
            <color theme="1"/>
            <rFont val="Aptos Narrow"/>
            <family val="2"/>
            <scheme val="minor"/>
          </rPr>
          <t>Introduzca un número con dos decimales como máximo</t>
        </r>
      </text>
    </comment>
    <comment ref="F159" authorId="1" shapeId="0" xr:uid="{85BC8CF0-7933-4C0E-9173-759D39C45D5F}">
      <text>
        <r>
          <rPr>
            <sz val="11"/>
            <color theme="1"/>
            <rFont val="Aptos Narrow"/>
            <family val="2"/>
            <scheme val="minor"/>
          </rPr>
          <t>Monto calculado automáticamente por el sistema</t>
        </r>
      </text>
    </comment>
    <comment ref="A164" authorId="1" shapeId="0" xr:uid="{01F895D6-AF31-4D7B-8082-449FE8F960F9}">
      <text>
        <r>
          <rPr>
            <sz val="11"/>
            <color theme="1"/>
            <rFont val="Aptos Narrow"/>
            <family val="2"/>
            <scheme val="minor"/>
          </rPr>
          <t>Introducir un texto con el nombre o referencia de la contratación</t>
        </r>
      </text>
    </comment>
    <comment ref="B164" authorId="1" shapeId="0" xr:uid="{8DF492BD-C54C-440C-8DF9-310599D8A213}">
      <text>
        <r>
          <rPr>
            <sz val="11"/>
            <color theme="1"/>
            <rFont val="Aptos Narrow"/>
            <family val="2"/>
            <scheme val="minor"/>
          </rPr>
          <t>Introduzca un texto con la finalidad de la contratación</t>
        </r>
      </text>
    </comment>
    <comment ref="C164" authorId="1" shapeId="0" xr:uid="{0C3BDCC5-A385-4247-AC0A-DB3382CA6727}">
      <text>
        <r>
          <rPr>
            <sz val="11"/>
            <color theme="1"/>
            <rFont val="Aptos Narrow"/>
            <family val="2"/>
            <scheme val="minor"/>
          </rPr>
          <t>Seleccionar un valor del listado</t>
        </r>
      </text>
    </comment>
    <comment ref="D164" authorId="1" shapeId="0" xr:uid="{ED1D4E9D-E896-4B81-A935-B99CE26AB394}">
      <text>
        <r>
          <rPr>
            <sz val="11"/>
            <color theme="1"/>
            <rFont val="Aptos Narrow"/>
            <family val="2"/>
            <scheme val="minor"/>
          </rPr>
          <t>Seleccione el tipo de procedimiento</t>
        </r>
      </text>
    </comment>
    <comment ref="E164" authorId="1" shapeId="0" xr:uid="{466D6AAF-9AE1-4168-92B6-9EE4122AA600}">
      <text>
        <r>
          <rPr>
            <sz val="11"/>
            <color theme="1"/>
            <rFont val="Aptos Narrow"/>
            <family val="2"/>
            <scheme val="minor"/>
          </rPr>
          <t>Seleccione un valor de la lista</t>
        </r>
      </text>
    </comment>
    <comment ref="F164" authorId="1" shapeId="0" xr:uid="{30B21A6B-0502-4D16-89C8-6488C3ECFB7E}">
      <text>
        <r>
          <rPr>
            <sz val="11"/>
            <color theme="1"/>
            <rFont val="Aptos Narrow"/>
            <family val="2"/>
            <scheme val="minor"/>
          </rPr>
          <t>Introduzca el código SNIP</t>
        </r>
      </text>
    </comment>
    <comment ref="C165" authorId="1" shapeId="0" xr:uid="{BB23360E-35B8-429E-8EC1-B30C00F3BC0F}">
      <text>
        <r>
          <rPr>
            <sz val="11"/>
            <color theme="1"/>
            <rFont val="Aptos Narrow"/>
            <family val="2"/>
            <scheme val="minor"/>
          </rPr>
          <t>Introduzca la fecha de inicio del proceso, en formato dd-mm-aaaa</t>
        </r>
      </text>
    </comment>
    <comment ref="F165" authorId="1" shapeId="0" xr:uid="{FC05004D-81D7-4FC7-AF2C-AE7F3C60147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6" authorId="1" shapeId="0" xr:uid="{5B96631F-BA36-45A8-97D2-8522C9486775}">
      <text/>
    </comment>
    <comment ref="C167" authorId="1" shapeId="0" xr:uid="{897D2DC0-AA3B-498C-BFC4-C3B1244CE9CC}">
      <text>
        <r>
          <rPr>
            <sz val="11"/>
            <color theme="1"/>
            <rFont val="Aptos Narrow"/>
            <family val="2"/>
            <scheme val="minor"/>
          </rPr>
          <t>Introduzca la fecha prevista de adjudicación, en formato dd-mm-aaaa</t>
        </r>
      </text>
    </comment>
    <comment ref="F167" authorId="1" shapeId="0" xr:uid="{0153A455-99B6-463E-B5E1-8F0A492BD233}">
      <text/>
    </comment>
    <comment ref="F168" authorId="1" shapeId="0" xr:uid="{78F43CE9-8C3A-4867-9B33-8DCF7F4CDFC6}">
      <text/>
    </comment>
    <comment ref="A170" authorId="1" shapeId="0" xr:uid="{BE78A142-1CBF-4EB1-99BA-87D583F6B83B}">
      <text>
        <r>
          <rPr>
            <sz val="11"/>
            <color theme="1"/>
            <rFont val="Aptos Narrow"/>
            <family val="2"/>
            <scheme val="minor"/>
          </rPr>
          <t>Introduzca un codigo UNSPSC</t>
        </r>
      </text>
    </comment>
    <comment ref="B170" authorId="1" shapeId="0" xr:uid="{03B81872-DBA5-4E60-9E6A-C499C75E8ADC}">
      <text>
        <r>
          <rPr>
            <sz val="11"/>
            <color theme="1"/>
            <rFont val="Aptos Narrow"/>
            <family val="2"/>
            <scheme val="minor"/>
          </rPr>
          <t>Descripción calculada automáticamente a partir de código del artículo</t>
        </r>
      </text>
    </comment>
    <comment ref="C170" authorId="1" shapeId="0" xr:uid="{A36835AC-1F56-471E-851B-E3B5532740DB}">
      <text>
        <r>
          <rPr>
            <sz val="11"/>
            <color theme="1"/>
            <rFont val="Aptos Narrow"/>
            <family val="2"/>
            <scheme val="minor"/>
          </rPr>
          <t>Seleccione un valor de la lista</t>
        </r>
      </text>
    </comment>
    <comment ref="D170" authorId="1" shapeId="0" xr:uid="{1D3632FD-4E1A-4A82-8F9F-9651DFCC082C}">
      <text>
        <r>
          <rPr>
            <sz val="11"/>
            <color theme="1"/>
            <rFont val="Aptos Narrow"/>
            <family val="2"/>
            <scheme val="minor"/>
          </rPr>
          <t>Introduzca un número con dos decimales como máximo. Debe ser igual o mayor a la "Cantidad Real Consumida"</t>
        </r>
      </text>
    </comment>
    <comment ref="E170" authorId="1" shapeId="0" xr:uid="{E254B363-A698-46F5-8C38-EC976232E9B1}">
      <text>
        <r>
          <rPr>
            <sz val="11"/>
            <color theme="1"/>
            <rFont val="Aptos Narrow"/>
            <family val="2"/>
            <scheme val="minor"/>
          </rPr>
          <t>Introduzca un número con dos decimales como máximo</t>
        </r>
      </text>
    </comment>
    <comment ref="F170" authorId="1" shapeId="0" xr:uid="{AC3C1778-A68B-4963-86AA-BB9458FE4CF8}">
      <text>
        <r>
          <rPr>
            <sz val="11"/>
            <color theme="1"/>
            <rFont val="Aptos Narrow"/>
            <family val="2"/>
            <scheme val="minor"/>
          </rPr>
          <t>Monto calculado automáticamente por el sistema</t>
        </r>
      </text>
    </comment>
    <comment ref="A176" authorId="1" shapeId="0" xr:uid="{B90E8C08-12B4-47CA-97F5-93D084569101}">
      <text>
        <r>
          <rPr>
            <sz val="11"/>
            <color theme="1"/>
            <rFont val="Aptos Narrow"/>
            <family val="2"/>
            <scheme val="minor"/>
          </rPr>
          <t>Introducir un texto con el nombre o referencia de la contratación</t>
        </r>
      </text>
    </comment>
    <comment ref="B176" authorId="1" shapeId="0" xr:uid="{4580163D-E03F-4BB9-A752-10D7A5349303}">
      <text>
        <r>
          <rPr>
            <sz val="11"/>
            <color theme="1"/>
            <rFont val="Aptos Narrow"/>
            <family val="2"/>
            <scheme val="minor"/>
          </rPr>
          <t>Introduzca un texto con la finalidad de la contratación</t>
        </r>
      </text>
    </comment>
    <comment ref="C176" authorId="1" shapeId="0" xr:uid="{D9582D78-A4E3-4F68-A1BC-312EF18294E2}">
      <text>
        <r>
          <rPr>
            <sz val="11"/>
            <color theme="1"/>
            <rFont val="Aptos Narrow"/>
            <family val="2"/>
            <scheme val="minor"/>
          </rPr>
          <t>Seleccionar un valor del listado</t>
        </r>
      </text>
    </comment>
    <comment ref="D176" authorId="1" shapeId="0" xr:uid="{94468864-5AD5-479F-A98E-CD14AC57211C}">
      <text>
        <r>
          <rPr>
            <sz val="11"/>
            <color theme="1"/>
            <rFont val="Aptos Narrow"/>
            <family val="2"/>
            <scheme val="minor"/>
          </rPr>
          <t>Seleccione el tipo de procedimiento</t>
        </r>
      </text>
    </comment>
    <comment ref="E176" authorId="1" shapeId="0" xr:uid="{14568224-2C9C-4B71-89EC-77CE5E95234C}">
      <text>
        <r>
          <rPr>
            <sz val="11"/>
            <color theme="1"/>
            <rFont val="Aptos Narrow"/>
            <family val="2"/>
            <scheme val="minor"/>
          </rPr>
          <t>Seleccione un valor de la lista</t>
        </r>
      </text>
    </comment>
    <comment ref="F176" authorId="1" shapeId="0" xr:uid="{F5D7589D-9936-4D20-95C6-B168644C323F}">
      <text>
        <r>
          <rPr>
            <sz val="11"/>
            <color theme="1"/>
            <rFont val="Aptos Narrow"/>
            <family val="2"/>
            <scheme val="minor"/>
          </rPr>
          <t>Introduzca el código SNIP</t>
        </r>
      </text>
    </comment>
    <comment ref="C177" authorId="1" shapeId="0" xr:uid="{4460ACEA-2F15-44F3-8DDF-7F3C5B720E22}">
      <text>
        <r>
          <rPr>
            <sz val="11"/>
            <color theme="1"/>
            <rFont val="Aptos Narrow"/>
            <family val="2"/>
            <scheme val="minor"/>
          </rPr>
          <t>Introduzca la fecha de inicio del proceso, en formato dd-mm-aaaa</t>
        </r>
      </text>
    </comment>
    <comment ref="F177" authorId="1" shapeId="0" xr:uid="{8C246FD1-1D3C-48A8-9BBB-F42BCDFEA33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8" authorId="1" shapeId="0" xr:uid="{59F2FF44-24A4-4110-9214-950DC916C693}">
      <text/>
    </comment>
    <comment ref="C179" authorId="1" shapeId="0" xr:uid="{6FC15C24-69D4-46F3-A9D1-E56CE1750064}">
      <text>
        <r>
          <rPr>
            <sz val="11"/>
            <color theme="1"/>
            <rFont val="Aptos Narrow"/>
            <family val="2"/>
            <scheme val="minor"/>
          </rPr>
          <t>Introduzca la fecha prevista de adjudicación, en formato dd-mm-aaaa</t>
        </r>
      </text>
    </comment>
    <comment ref="F179" authorId="1" shapeId="0" xr:uid="{07847236-830C-47AF-9BC9-C3CACAF1423F}">
      <text/>
    </comment>
    <comment ref="F180" authorId="1" shapeId="0" xr:uid="{23856D90-0721-49EA-92D7-82A1686AEA67}">
      <text/>
    </comment>
    <comment ref="A182" authorId="1" shapeId="0" xr:uid="{F9D829A6-A1BB-402B-B59A-653D86B9910B}">
      <text>
        <r>
          <rPr>
            <sz val="11"/>
            <color theme="1"/>
            <rFont val="Aptos Narrow"/>
            <family val="2"/>
            <scheme val="minor"/>
          </rPr>
          <t>Introduzca un codigo UNSPSC</t>
        </r>
      </text>
    </comment>
    <comment ref="B182" authorId="1" shapeId="0" xr:uid="{D8B688D2-2C9C-4888-A9A6-D090E996EDED}">
      <text>
        <r>
          <rPr>
            <sz val="11"/>
            <color theme="1"/>
            <rFont val="Aptos Narrow"/>
            <family val="2"/>
            <scheme val="minor"/>
          </rPr>
          <t>Descripción calculada automáticamente a partir de código del artículo</t>
        </r>
      </text>
    </comment>
    <comment ref="C182" authorId="1" shapeId="0" xr:uid="{36A85DA5-C1CA-4E8C-86D8-171875BA155B}">
      <text>
        <r>
          <rPr>
            <sz val="11"/>
            <color theme="1"/>
            <rFont val="Aptos Narrow"/>
            <family val="2"/>
            <scheme val="minor"/>
          </rPr>
          <t>Seleccione un valor de la lista</t>
        </r>
      </text>
    </comment>
    <comment ref="D182" authorId="1" shapeId="0" xr:uid="{2D1C1F7B-B50B-430C-AFFB-B9ABADB1D896}">
      <text>
        <r>
          <rPr>
            <sz val="11"/>
            <color theme="1"/>
            <rFont val="Aptos Narrow"/>
            <family val="2"/>
            <scheme val="minor"/>
          </rPr>
          <t>Introduzca un número con dos decimales como máximo. Debe ser igual o mayor a la "Cantidad Real Consumida"</t>
        </r>
      </text>
    </comment>
    <comment ref="E182" authorId="1" shapeId="0" xr:uid="{08308D73-B371-4E68-B956-F557D06E27AB}">
      <text>
        <r>
          <rPr>
            <sz val="11"/>
            <color theme="1"/>
            <rFont val="Aptos Narrow"/>
            <family val="2"/>
            <scheme val="minor"/>
          </rPr>
          <t>Introduzca un número con dos decimales como máximo</t>
        </r>
      </text>
    </comment>
    <comment ref="F182" authorId="1" shapeId="0" xr:uid="{15FAD754-2BCF-467F-A8E4-A1C5C84BA598}">
      <text>
        <r>
          <rPr>
            <sz val="11"/>
            <color theme="1"/>
            <rFont val="Aptos Narrow"/>
            <family val="2"/>
            <scheme val="minor"/>
          </rPr>
          <t>Monto calculado automáticamente por el sistema</t>
        </r>
      </text>
    </comment>
    <comment ref="A188" authorId="1" shapeId="0" xr:uid="{ACF6B463-4BE2-44DE-A34E-3810BD03FA0E}">
      <text>
        <r>
          <rPr>
            <sz val="11"/>
            <color theme="1"/>
            <rFont val="Aptos Narrow"/>
            <family val="2"/>
            <scheme val="minor"/>
          </rPr>
          <t>Introducir un texto con el nombre o referencia de la contratación</t>
        </r>
      </text>
    </comment>
    <comment ref="B188" authorId="1" shapeId="0" xr:uid="{26F8723A-1077-49BB-B155-1133F7896522}">
      <text>
        <r>
          <rPr>
            <sz val="11"/>
            <color theme="1"/>
            <rFont val="Aptos Narrow"/>
            <family val="2"/>
            <scheme val="minor"/>
          </rPr>
          <t>Introduzca un texto con la finalidad de la contratación</t>
        </r>
      </text>
    </comment>
    <comment ref="C188" authorId="1" shapeId="0" xr:uid="{74F9F570-DDA0-4BA1-BA61-2A026E941C4F}">
      <text>
        <r>
          <rPr>
            <sz val="11"/>
            <color theme="1"/>
            <rFont val="Aptos Narrow"/>
            <family val="2"/>
            <scheme val="minor"/>
          </rPr>
          <t>Seleccionar un valor del listado</t>
        </r>
      </text>
    </comment>
    <comment ref="D188" authorId="1" shapeId="0" xr:uid="{B3D97DB1-4DBD-4663-949A-5B7F47B53B59}">
      <text>
        <r>
          <rPr>
            <sz val="11"/>
            <color theme="1"/>
            <rFont val="Aptos Narrow"/>
            <family val="2"/>
            <scheme val="minor"/>
          </rPr>
          <t>Seleccione el tipo de procedimiento</t>
        </r>
      </text>
    </comment>
    <comment ref="E188" authorId="1" shapeId="0" xr:uid="{552E63F7-0DBC-4D0C-8FA1-E71BE9CA1C32}">
      <text>
        <r>
          <rPr>
            <sz val="11"/>
            <color theme="1"/>
            <rFont val="Aptos Narrow"/>
            <family val="2"/>
            <scheme val="minor"/>
          </rPr>
          <t>Seleccione un valor de la lista</t>
        </r>
      </text>
    </comment>
    <comment ref="F188" authorId="1" shapeId="0" xr:uid="{AD4EC083-FDBF-422F-969D-628B0E5CF09F}">
      <text>
        <r>
          <rPr>
            <sz val="11"/>
            <color theme="1"/>
            <rFont val="Aptos Narrow"/>
            <family val="2"/>
            <scheme val="minor"/>
          </rPr>
          <t>Introduzca el código SNIP</t>
        </r>
      </text>
    </comment>
    <comment ref="C189" authorId="1" shapeId="0" xr:uid="{F4B0A6F5-794B-4F12-B264-292B905BFE39}">
      <text>
        <r>
          <rPr>
            <sz val="11"/>
            <color theme="1"/>
            <rFont val="Aptos Narrow"/>
            <family val="2"/>
            <scheme val="minor"/>
          </rPr>
          <t>Introduzca la fecha de inicio del proceso, en formato dd-mm-aaaa</t>
        </r>
      </text>
    </comment>
    <comment ref="F189" authorId="1" shapeId="0" xr:uid="{FBA72126-B256-431B-8FC5-921AE2B2104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0" authorId="1" shapeId="0" xr:uid="{2F9DF313-459D-4DE2-924E-FC71F49494EA}">
      <text/>
    </comment>
    <comment ref="C191" authorId="1" shapeId="0" xr:uid="{488238F1-BFDE-4D5E-9CA0-077F2DAF9E81}">
      <text>
        <r>
          <rPr>
            <sz val="11"/>
            <color theme="1"/>
            <rFont val="Aptos Narrow"/>
            <family val="2"/>
            <scheme val="minor"/>
          </rPr>
          <t>Introduzca la fecha prevista de adjudicación, en formato dd-mm-aaaa</t>
        </r>
      </text>
    </comment>
    <comment ref="F191" authorId="1" shapeId="0" xr:uid="{2C7182EC-15A5-4E09-8337-F6D7537E235A}">
      <text/>
    </comment>
    <comment ref="F192" authorId="1" shapeId="0" xr:uid="{D141EC6B-5C49-44A4-A17F-3D1814DF8298}">
      <text/>
    </comment>
    <comment ref="A194" authorId="1" shapeId="0" xr:uid="{9260709A-6948-467D-8831-750D7857E456}">
      <text>
        <r>
          <rPr>
            <sz val="11"/>
            <color theme="1"/>
            <rFont val="Aptos Narrow"/>
            <family val="2"/>
            <scheme val="minor"/>
          </rPr>
          <t>Introduzca un codigo UNSPSC</t>
        </r>
      </text>
    </comment>
    <comment ref="B194" authorId="1" shapeId="0" xr:uid="{08163CEE-E9A0-4C22-9662-9812CF604BD7}">
      <text>
        <r>
          <rPr>
            <sz val="11"/>
            <color theme="1"/>
            <rFont val="Aptos Narrow"/>
            <family val="2"/>
            <scheme val="minor"/>
          </rPr>
          <t>Descripción calculada automáticamente a partir de código del artículo</t>
        </r>
      </text>
    </comment>
    <comment ref="C194" authorId="1" shapeId="0" xr:uid="{63C15D20-346D-493F-B9F7-F49A5664FA83}">
      <text>
        <r>
          <rPr>
            <sz val="11"/>
            <color theme="1"/>
            <rFont val="Aptos Narrow"/>
            <family val="2"/>
            <scheme val="minor"/>
          </rPr>
          <t>Seleccione un valor de la lista</t>
        </r>
      </text>
    </comment>
    <comment ref="D194" authorId="1" shapeId="0" xr:uid="{CFF5FC96-8640-46F8-B920-2818630E7651}">
      <text>
        <r>
          <rPr>
            <sz val="11"/>
            <color theme="1"/>
            <rFont val="Aptos Narrow"/>
            <family val="2"/>
            <scheme val="minor"/>
          </rPr>
          <t>Introduzca un número con dos decimales como máximo. Debe ser igual o mayor a la "Cantidad Real Consumida"</t>
        </r>
      </text>
    </comment>
    <comment ref="E194" authorId="1" shapeId="0" xr:uid="{496A120D-15EF-4A9C-8E9E-8A8DA78D82C4}">
      <text>
        <r>
          <rPr>
            <sz val="11"/>
            <color theme="1"/>
            <rFont val="Aptos Narrow"/>
            <family val="2"/>
            <scheme val="minor"/>
          </rPr>
          <t>Introduzca un número con dos decimales como máximo</t>
        </r>
      </text>
    </comment>
    <comment ref="F194" authorId="1" shapeId="0" xr:uid="{6CD88452-0358-42B1-A9B0-1BA49D511A5E}">
      <text>
        <r>
          <rPr>
            <sz val="11"/>
            <color theme="1"/>
            <rFont val="Aptos Narrow"/>
            <family val="2"/>
            <scheme val="minor"/>
          </rPr>
          <t>Monto calculado automáticamente por el sistema</t>
        </r>
      </text>
    </comment>
    <comment ref="A205" authorId="1" shapeId="0" xr:uid="{0A278010-C9B0-4ABA-8CA5-87AA521C76EA}">
      <text>
        <r>
          <rPr>
            <sz val="11"/>
            <color theme="1"/>
            <rFont val="Aptos Narrow"/>
            <family val="2"/>
            <scheme val="minor"/>
          </rPr>
          <t>Introducir un texto con el nombre o referencia de la contratación</t>
        </r>
      </text>
    </comment>
    <comment ref="B205" authorId="1" shapeId="0" xr:uid="{51A94836-AE4B-4B39-8A23-5C5123407280}">
      <text>
        <r>
          <rPr>
            <sz val="11"/>
            <color theme="1"/>
            <rFont val="Aptos Narrow"/>
            <family val="2"/>
            <scheme val="minor"/>
          </rPr>
          <t>Introduzca un texto con la finalidad de la contratación</t>
        </r>
      </text>
    </comment>
    <comment ref="C205" authorId="1" shapeId="0" xr:uid="{654B5812-F2BA-4975-8917-9E43C8328E00}">
      <text>
        <r>
          <rPr>
            <sz val="11"/>
            <color theme="1"/>
            <rFont val="Aptos Narrow"/>
            <family val="2"/>
            <scheme val="minor"/>
          </rPr>
          <t>Seleccionar un valor del listado</t>
        </r>
      </text>
    </comment>
    <comment ref="D205" authorId="1" shapeId="0" xr:uid="{C330792B-EE00-4A36-B297-5AAC6BD50779}">
      <text>
        <r>
          <rPr>
            <sz val="11"/>
            <color theme="1"/>
            <rFont val="Aptos Narrow"/>
            <family val="2"/>
            <scheme val="minor"/>
          </rPr>
          <t>Seleccione el tipo de procedimiento</t>
        </r>
      </text>
    </comment>
    <comment ref="E205" authorId="1" shapeId="0" xr:uid="{DCDFC999-1723-4338-BBF5-CE9A6B8C858E}">
      <text>
        <r>
          <rPr>
            <sz val="11"/>
            <color theme="1"/>
            <rFont val="Aptos Narrow"/>
            <family val="2"/>
            <scheme val="minor"/>
          </rPr>
          <t>Seleccione un valor de la lista</t>
        </r>
      </text>
    </comment>
    <comment ref="F205" authorId="1" shapeId="0" xr:uid="{9AEF3936-DA2F-4AB3-BAF8-2BC9FCBA354B}">
      <text>
        <r>
          <rPr>
            <sz val="11"/>
            <color theme="1"/>
            <rFont val="Aptos Narrow"/>
            <family val="2"/>
            <scheme val="minor"/>
          </rPr>
          <t>Introduzca el código SNIP</t>
        </r>
      </text>
    </comment>
    <comment ref="C206" authorId="1" shapeId="0" xr:uid="{54C0B2FE-5B17-43D3-9112-C9BD04F797A3}">
      <text>
        <r>
          <rPr>
            <sz val="11"/>
            <color theme="1"/>
            <rFont val="Aptos Narrow"/>
            <family val="2"/>
            <scheme val="minor"/>
          </rPr>
          <t>Introduzca la fecha de inicio del proceso, en formato dd-mm-aaaa</t>
        </r>
      </text>
    </comment>
    <comment ref="F206" authorId="1" shapeId="0" xr:uid="{400B8655-3A25-4C6A-B0AD-224A0833A19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07" authorId="1" shapeId="0" xr:uid="{8993B7ED-BF62-42A1-8A64-08ADEC1C4CBF}">
      <text/>
    </comment>
    <comment ref="C208" authorId="1" shapeId="0" xr:uid="{8D3B5AEB-3FB6-46D9-B3ED-F543C1546F27}">
      <text>
        <r>
          <rPr>
            <sz val="11"/>
            <color theme="1"/>
            <rFont val="Aptos Narrow"/>
            <family val="2"/>
            <scheme val="minor"/>
          </rPr>
          <t>Introduzca la fecha prevista de adjudicación, en formato dd-mm-aaaa</t>
        </r>
      </text>
    </comment>
    <comment ref="F208" authorId="1" shapeId="0" xr:uid="{6AB33B71-5609-4EDB-ABED-7B6780935EC0}">
      <text/>
    </comment>
    <comment ref="F209" authorId="1" shapeId="0" xr:uid="{595B7139-00B0-447E-A7D6-EF1A25B66AB3}">
      <text/>
    </comment>
    <comment ref="A211" authorId="1" shapeId="0" xr:uid="{DEF42C63-5A2F-4184-BBAC-D43F777F465F}">
      <text>
        <r>
          <rPr>
            <sz val="11"/>
            <color theme="1"/>
            <rFont val="Aptos Narrow"/>
            <family val="2"/>
            <scheme val="minor"/>
          </rPr>
          <t>Introduzca un codigo UNSPSC</t>
        </r>
      </text>
    </comment>
    <comment ref="B211" authorId="1" shapeId="0" xr:uid="{B0B00FF5-6A76-4D70-A6EB-6CFC2BCCDABC}">
      <text>
        <r>
          <rPr>
            <sz val="11"/>
            <color theme="1"/>
            <rFont val="Aptos Narrow"/>
            <family val="2"/>
            <scheme val="minor"/>
          </rPr>
          <t>Descripción calculada automáticamente a partir de código del artículo</t>
        </r>
      </text>
    </comment>
    <comment ref="C211" authorId="1" shapeId="0" xr:uid="{EBEDEFFA-B1CA-4E2B-A3CA-0365C8B50E04}">
      <text>
        <r>
          <rPr>
            <sz val="11"/>
            <color theme="1"/>
            <rFont val="Aptos Narrow"/>
            <family val="2"/>
            <scheme val="minor"/>
          </rPr>
          <t>Seleccione un valor de la lista</t>
        </r>
      </text>
    </comment>
    <comment ref="D211" authorId="1" shapeId="0" xr:uid="{AABC4F03-31BC-4FC5-B9C7-200274E4AF89}">
      <text>
        <r>
          <rPr>
            <sz val="11"/>
            <color theme="1"/>
            <rFont val="Aptos Narrow"/>
            <family val="2"/>
            <scheme val="minor"/>
          </rPr>
          <t>Introduzca un número con dos decimales como máximo. Debe ser igual o mayor a la "Cantidad Real Consumida"</t>
        </r>
      </text>
    </comment>
    <comment ref="E211" authorId="1" shapeId="0" xr:uid="{36EF0B6A-B4CE-4B46-9ECC-4A3C81FB7B61}">
      <text>
        <r>
          <rPr>
            <sz val="11"/>
            <color theme="1"/>
            <rFont val="Aptos Narrow"/>
            <family val="2"/>
            <scheme val="minor"/>
          </rPr>
          <t>Introduzca un número con dos decimales como máximo</t>
        </r>
      </text>
    </comment>
    <comment ref="F211" authorId="1" shapeId="0" xr:uid="{259B36C7-2DB2-43A3-9B9C-6E1C6F786D35}">
      <text>
        <r>
          <rPr>
            <sz val="11"/>
            <color theme="1"/>
            <rFont val="Aptos Narrow"/>
            <family val="2"/>
            <scheme val="minor"/>
          </rPr>
          <t>Monto calculado automáticamente por el sistema</t>
        </r>
      </text>
    </comment>
    <comment ref="A217" authorId="1" shapeId="0" xr:uid="{D2E3CCCE-8B01-4D1A-9EA3-9B3272D864AF}">
      <text>
        <r>
          <rPr>
            <sz val="11"/>
            <color theme="1"/>
            <rFont val="Aptos Narrow"/>
            <family val="2"/>
            <scheme val="minor"/>
          </rPr>
          <t>Introducir un texto con el nombre o referencia de la contratación</t>
        </r>
      </text>
    </comment>
    <comment ref="B217" authorId="1" shapeId="0" xr:uid="{B59E7160-2E61-403C-9A6A-198EDB26A5BA}">
      <text>
        <r>
          <rPr>
            <sz val="11"/>
            <color theme="1"/>
            <rFont val="Aptos Narrow"/>
            <family val="2"/>
            <scheme val="minor"/>
          </rPr>
          <t>Introduzca un texto con la finalidad de la contratación</t>
        </r>
      </text>
    </comment>
    <comment ref="C217" authorId="1" shapeId="0" xr:uid="{56D0DE67-A739-4594-B0BC-C2850D891448}">
      <text>
        <r>
          <rPr>
            <sz val="11"/>
            <color theme="1"/>
            <rFont val="Aptos Narrow"/>
            <family val="2"/>
            <scheme val="minor"/>
          </rPr>
          <t>Seleccionar un valor del listado</t>
        </r>
      </text>
    </comment>
    <comment ref="D217" authorId="1" shapeId="0" xr:uid="{B4848222-1928-492D-8579-78F1DBD53C42}">
      <text>
        <r>
          <rPr>
            <sz val="11"/>
            <color theme="1"/>
            <rFont val="Aptos Narrow"/>
            <family val="2"/>
            <scheme val="minor"/>
          </rPr>
          <t>Seleccione el tipo de procedimiento</t>
        </r>
      </text>
    </comment>
    <comment ref="E217" authorId="1" shapeId="0" xr:uid="{91F3D5CC-C280-4B2E-B755-78ED617D7A6E}">
      <text>
        <r>
          <rPr>
            <sz val="11"/>
            <color theme="1"/>
            <rFont val="Aptos Narrow"/>
            <family val="2"/>
            <scheme val="minor"/>
          </rPr>
          <t>Seleccione un valor de la lista</t>
        </r>
      </text>
    </comment>
    <comment ref="F217" authorId="1" shapeId="0" xr:uid="{25C9C3FC-8200-45FA-AEB1-FCFD355D069D}">
      <text>
        <r>
          <rPr>
            <sz val="11"/>
            <color theme="1"/>
            <rFont val="Aptos Narrow"/>
            <family val="2"/>
            <scheme val="minor"/>
          </rPr>
          <t>Introduzca el código SNIP</t>
        </r>
      </text>
    </comment>
    <comment ref="C218" authorId="1" shapeId="0" xr:uid="{FA5D0AEE-B19C-4683-BECB-E7312F51A867}">
      <text>
        <r>
          <rPr>
            <sz val="11"/>
            <color theme="1"/>
            <rFont val="Aptos Narrow"/>
            <family val="2"/>
            <scheme val="minor"/>
          </rPr>
          <t>Introduzca la fecha de inicio del proceso, en formato dd-mm-aaaa</t>
        </r>
      </text>
    </comment>
    <comment ref="F218" authorId="1" shapeId="0" xr:uid="{9896C3B9-8D39-4A71-AC43-50CCA7F100A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19" authorId="1" shapeId="0" xr:uid="{89E81E7D-2DE2-4244-8E6E-EEC3ACE4EAA3}">
      <text/>
    </comment>
    <comment ref="C220" authorId="1" shapeId="0" xr:uid="{7679A209-289C-4421-B2D3-EFFCC7307D7C}">
      <text>
        <r>
          <rPr>
            <sz val="11"/>
            <color theme="1"/>
            <rFont val="Aptos Narrow"/>
            <family val="2"/>
            <scheme val="minor"/>
          </rPr>
          <t>Introduzca la fecha prevista de adjudicación, en formato dd-mm-aaaa</t>
        </r>
      </text>
    </comment>
    <comment ref="F220" authorId="1" shapeId="0" xr:uid="{9CE04C3B-E05C-4888-9B86-09B3DCFA7149}">
      <text/>
    </comment>
    <comment ref="F221" authorId="1" shapeId="0" xr:uid="{A6BD4D27-F863-4E72-96F5-D60E786EC1DC}">
      <text/>
    </comment>
    <comment ref="A223" authorId="1" shapeId="0" xr:uid="{0C2EC067-50B1-4817-8AD2-8F5F8161CD5C}">
      <text>
        <r>
          <rPr>
            <sz val="11"/>
            <color theme="1"/>
            <rFont val="Aptos Narrow"/>
            <family val="2"/>
            <scheme val="minor"/>
          </rPr>
          <t>Introduzca un codigo UNSPSC</t>
        </r>
      </text>
    </comment>
    <comment ref="B223" authorId="1" shapeId="0" xr:uid="{8ADFC35A-46AD-40A7-87A4-C690600CCFCB}">
      <text>
        <r>
          <rPr>
            <sz val="11"/>
            <color theme="1"/>
            <rFont val="Aptos Narrow"/>
            <family val="2"/>
            <scheme val="minor"/>
          </rPr>
          <t>Descripción calculada automáticamente a partir de código del artículo</t>
        </r>
      </text>
    </comment>
    <comment ref="C223" authorId="1" shapeId="0" xr:uid="{718A8454-7F84-49B4-B651-B63C55A9B5E6}">
      <text>
        <r>
          <rPr>
            <sz val="11"/>
            <color theme="1"/>
            <rFont val="Aptos Narrow"/>
            <family val="2"/>
            <scheme val="minor"/>
          </rPr>
          <t>Seleccione un valor de la lista</t>
        </r>
      </text>
    </comment>
    <comment ref="D223" authorId="1" shapeId="0" xr:uid="{C90179EB-CBBE-42AC-AD55-E9257D7210C4}">
      <text>
        <r>
          <rPr>
            <sz val="11"/>
            <color theme="1"/>
            <rFont val="Aptos Narrow"/>
            <family val="2"/>
            <scheme val="minor"/>
          </rPr>
          <t>Introduzca un número con dos decimales como máximo. Debe ser igual o mayor a la "Cantidad Real Consumida"</t>
        </r>
      </text>
    </comment>
    <comment ref="E223" authorId="1" shapeId="0" xr:uid="{B37BC9E4-EC2C-40E6-8085-FC592D991B49}">
      <text>
        <r>
          <rPr>
            <sz val="11"/>
            <color theme="1"/>
            <rFont val="Aptos Narrow"/>
            <family val="2"/>
            <scheme val="minor"/>
          </rPr>
          <t>Introduzca un número con dos decimales como máximo</t>
        </r>
      </text>
    </comment>
    <comment ref="F223" authorId="1" shapeId="0" xr:uid="{C83C6759-3F78-4F23-8676-25EE4BC17556}">
      <text>
        <r>
          <rPr>
            <sz val="11"/>
            <color theme="1"/>
            <rFont val="Aptos Narrow"/>
            <family val="2"/>
            <scheme val="minor"/>
          </rPr>
          <t>Monto calculado automáticamente por el sistema</t>
        </r>
      </text>
    </comment>
    <comment ref="A233" authorId="1" shapeId="0" xr:uid="{00908A77-34D5-4410-9ECB-9FDE811087F0}">
      <text>
        <r>
          <rPr>
            <sz val="11"/>
            <color theme="1"/>
            <rFont val="Aptos Narrow"/>
            <family val="2"/>
            <scheme val="minor"/>
          </rPr>
          <t>Introducir un texto con el nombre o referencia de la contratación</t>
        </r>
      </text>
    </comment>
    <comment ref="B233" authorId="1" shapeId="0" xr:uid="{BAF9445D-DEB3-48B9-8036-45D454EFD3B7}">
      <text>
        <r>
          <rPr>
            <sz val="11"/>
            <color theme="1"/>
            <rFont val="Aptos Narrow"/>
            <family val="2"/>
            <scheme val="minor"/>
          </rPr>
          <t>Introduzca un texto con la finalidad de la contratación</t>
        </r>
      </text>
    </comment>
    <comment ref="C233" authorId="1" shapeId="0" xr:uid="{43169011-B9E1-40D2-ACFD-3FC30689A096}">
      <text>
        <r>
          <rPr>
            <sz val="11"/>
            <color theme="1"/>
            <rFont val="Aptos Narrow"/>
            <family val="2"/>
            <scheme val="minor"/>
          </rPr>
          <t>Seleccionar un valor del listado</t>
        </r>
      </text>
    </comment>
    <comment ref="D233" authorId="1" shapeId="0" xr:uid="{0559E0C7-A477-41AC-AED6-1D66302126DC}">
      <text>
        <r>
          <rPr>
            <sz val="11"/>
            <color theme="1"/>
            <rFont val="Aptos Narrow"/>
            <family val="2"/>
            <scheme val="minor"/>
          </rPr>
          <t>Seleccione el tipo de procedimiento</t>
        </r>
      </text>
    </comment>
    <comment ref="E233" authorId="1" shapeId="0" xr:uid="{5AB3D9E1-6CEE-4828-82F1-EBFD5DB47382}">
      <text>
        <r>
          <rPr>
            <sz val="11"/>
            <color theme="1"/>
            <rFont val="Aptos Narrow"/>
            <family val="2"/>
            <scheme val="minor"/>
          </rPr>
          <t>Seleccione un valor de la lista</t>
        </r>
      </text>
    </comment>
    <comment ref="F233" authorId="1" shapeId="0" xr:uid="{4447F3AC-B936-4DF5-AE96-B00700700DEA}">
      <text>
        <r>
          <rPr>
            <sz val="11"/>
            <color theme="1"/>
            <rFont val="Aptos Narrow"/>
            <family val="2"/>
            <scheme val="minor"/>
          </rPr>
          <t>Introduzca el código SNIP</t>
        </r>
      </text>
    </comment>
    <comment ref="C234" authorId="1" shapeId="0" xr:uid="{DF23DCB8-222C-40C5-B522-282D3E5EB173}">
      <text>
        <r>
          <rPr>
            <sz val="11"/>
            <color theme="1"/>
            <rFont val="Aptos Narrow"/>
            <family val="2"/>
            <scheme val="minor"/>
          </rPr>
          <t>Introduzca la fecha de inicio del proceso, en formato dd-mm-aaaa</t>
        </r>
      </text>
    </comment>
    <comment ref="F234" authorId="1" shapeId="0" xr:uid="{CF11811B-82CD-43EA-9A95-1B0342DE202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5" authorId="1" shapeId="0" xr:uid="{52C4C9A9-C0D8-4935-B056-3261315CDE47}">
      <text/>
    </comment>
    <comment ref="C236" authorId="1" shapeId="0" xr:uid="{1F59CF40-3AC7-44F4-9AC0-CA0C89AFA6A2}">
      <text>
        <r>
          <rPr>
            <sz val="11"/>
            <color theme="1"/>
            <rFont val="Aptos Narrow"/>
            <family val="2"/>
            <scheme val="minor"/>
          </rPr>
          <t>Introduzca la fecha prevista de adjudicación, en formato dd-mm-aaaa</t>
        </r>
      </text>
    </comment>
    <comment ref="F236" authorId="1" shapeId="0" xr:uid="{6512AB0B-BDEE-4290-A9EE-C876BCE0D330}">
      <text/>
    </comment>
    <comment ref="F237" authorId="1" shapeId="0" xr:uid="{5E97765B-8889-4AD7-BB18-B51974C91FB8}">
      <text/>
    </comment>
    <comment ref="A239" authorId="1" shapeId="0" xr:uid="{702D4141-ED36-4286-B5B6-CB50A8FB649A}">
      <text>
        <r>
          <rPr>
            <sz val="11"/>
            <color theme="1"/>
            <rFont val="Aptos Narrow"/>
            <family val="2"/>
            <scheme val="minor"/>
          </rPr>
          <t>Introduzca un codigo UNSPSC</t>
        </r>
      </text>
    </comment>
    <comment ref="B239" authorId="1" shapeId="0" xr:uid="{CB1F0082-2D61-473F-968F-35C2EF4258A7}">
      <text>
        <r>
          <rPr>
            <sz val="11"/>
            <color theme="1"/>
            <rFont val="Aptos Narrow"/>
            <family val="2"/>
            <scheme val="minor"/>
          </rPr>
          <t>Descripción calculada automáticamente a partir de código del artículo</t>
        </r>
      </text>
    </comment>
    <comment ref="C239" authorId="1" shapeId="0" xr:uid="{EFEADE9C-A596-4A74-BC7F-DB16A58C94AF}">
      <text>
        <r>
          <rPr>
            <sz val="11"/>
            <color theme="1"/>
            <rFont val="Aptos Narrow"/>
            <family val="2"/>
            <scheme val="minor"/>
          </rPr>
          <t>Seleccione un valor de la lista</t>
        </r>
      </text>
    </comment>
    <comment ref="D239" authorId="1" shapeId="0" xr:uid="{330FB0B0-8F77-4E47-B025-70B1C6D7D85C}">
      <text>
        <r>
          <rPr>
            <sz val="11"/>
            <color theme="1"/>
            <rFont val="Aptos Narrow"/>
            <family val="2"/>
            <scheme val="minor"/>
          </rPr>
          <t>Introduzca un número con dos decimales como máximo. Debe ser igual o mayor a la "Cantidad Real Consumida"</t>
        </r>
      </text>
    </comment>
    <comment ref="E239" authorId="1" shapeId="0" xr:uid="{8B353996-9527-41D8-A6C0-ED29C5959078}">
      <text>
        <r>
          <rPr>
            <sz val="11"/>
            <color theme="1"/>
            <rFont val="Aptos Narrow"/>
            <family val="2"/>
            <scheme val="minor"/>
          </rPr>
          <t>Introduzca un número con dos decimales como máximo</t>
        </r>
      </text>
    </comment>
    <comment ref="F239" authorId="1" shapeId="0" xr:uid="{3344B416-9001-483C-9D3C-A7B1FE4E4140}">
      <text>
        <r>
          <rPr>
            <sz val="11"/>
            <color theme="1"/>
            <rFont val="Aptos Narrow"/>
            <family val="2"/>
            <scheme val="minor"/>
          </rPr>
          <t>Monto calculado automáticamente por el sistema</t>
        </r>
      </text>
    </comment>
    <comment ref="A248" authorId="1" shapeId="0" xr:uid="{58C5792B-9869-4599-A77D-A281A8EC2454}">
      <text>
        <r>
          <rPr>
            <sz val="11"/>
            <color theme="1"/>
            <rFont val="Aptos Narrow"/>
            <family val="2"/>
            <scheme val="minor"/>
          </rPr>
          <t>Introducir un texto con el nombre o referencia de la contratación</t>
        </r>
      </text>
    </comment>
    <comment ref="B248" authorId="1" shapeId="0" xr:uid="{73B9CEDB-2DF6-4FD1-82C6-F4D7A7484E5C}">
      <text>
        <r>
          <rPr>
            <sz val="11"/>
            <color theme="1"/>
            <rFont val="Aptos Narrow"/>
            <family val="2"/>
            <scheme val="minor"/>
          </rPr>
          <t>Introduzca un texto con la finalidad de la contratación</t>
        </r>
      </text>
    </comment>
    <comment ref="C248" authorId="1" shapeId="0" xr:uid="{9C2ADF52-ED40-4394-B375-13759A217CA6}">
      <text>
        <r>
          <rPr>
            <sz val="11"/>
            <color theme="1"/>
            <rFont val="Aptos Narrow"/>
            <family val="2"/>
            <scheme val="minor"/>
          </rPr>
          <t>Seleccionar un valor del listado</t>
        </r>
      </text>
    </comment>
    <comment ref="D248" authorId="1" shapeId="0" xr:uid="{051EAC65-6EBE-4923-9D2A-FADD2F824B35}">
      <text>
        <r>
          <rPr>
            <sz val="11"/>
            <color theme="1"/>
            <rFont val="Aptos Narrow"/>
            <family val="2"/>
            <scheme val="minor"/>
          </rPr>
          <t>Seleccione el tipo de procedimiento</t>
        </r>
      </text>
    </comment>
    <comment ref="E248" authorId="1" shapeId="0" xr:uid="{2D9AE827-E5CF-4E2B-8FE3-BB6B3B4D30BB}">
      <text>
        <r>
          <rPr>
            <sz val="11"/>
            <color theme="1"/>
            <rFont val="Aptos Narrow"/>
            <family val="2"/>
            <scheme val="minor"/>
          </rPr>
          <t>Seleccione un valor de la lista</t>
        </r>
      </text>
    </comment>
    <comment ref="F248" authorId="1" shapeId="0" xr:uid="{0A61E473-BE64-4A34-8993-723793D39097}">
      <text>
        <r>
          <rPr>
            <sz val="11"/>
            <color theme="1"/>
            <rFont val="Aptos Narrow"/>
            <family val="2"/>
            <scheme val="minor"/>
          </rPr>
          <t>Introduzca el código SNIP</t>
        </r>
      </text>
    </comment>
    <comment ref="C249" authorId="1" shapeId="0" xr:uid="{9B8C1C2F-3E6C-4BBE-B393-D2507182AFAB}">
      <text>
        <r>
          <rPr>
            <sz val="11"/>
            <color theme="1"/>
            <rFont val="Aptos Narrow"/>
            <family val="2"/>
            <scheme val="minor"/>
          </rPr>
          <t>Introduzca la fecha de inicio del proceso, en formato dd-mm-aaaa</t>
        </r>
      </text>
    </comment>
    <comment ref="F249" authorId="1" shapeId="0" xr:uid="{A9F8D505-BA8F-459C-BA1A-CF41BADFEE9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50" authorId="1" shapeId="0" xr:uid="{A7EED894-AF23-43E2-9513-56E6C2053FD6}">
      <text/>
    </comment>
    <comment ref="C251" authorId="1" shapeId="0" xr:uid="{76A06319-8DAB-4A7A-B870-4A71B019984C}">
      <text>
        <r>
          <rPr>
            <sz val="11"/>
            <color theme="1"/>
            <rFont val="Aptos Narrow"/>
            <family val="2"/>
            <scheme val="minor"/>
          </rPr>
          <t>Introduzca la fecha prevista de adjudicación, en formato dd-mm-aaaa</t>
        </r>
      </text>
    </comment>
    <comment ref="F251" authorId="1" shapeId="0" xr:uid="{76184C0C-F34E-4C69-9110-39B56D0BBF0C}">
      <text/>
    </comment>
    <comment ref="F252" authorId="1" shapeId="0" xr:uid="{30D95A8D-DA70-4F39-97FD-6FC3C534D0C6}">
      <text/>
    </comment>
    <comment ref="A254" authorId="1" shapeId="0" xr:uid="{2C21D165-54FB-4022-94CA-231BBD5EEDBA}">
      <text>
        <r>
          <rPr>
            <sz val="11"/>
            <color theme="1"/>
            <rFont val="Aptos Narrow"/>
            <family val="2"/>
            <scheme val="minor"/>
          </rPr>
          <t>Introduzca un codigo UNSPSC</t>
        </r>
      </text>
    </comment>
    <comment ref="B254" authorId="1" shapeId="0" xr:uid="{96676076-AC43-4B9F-AA79-8D5EAECB8BF7}">
      <text>
        <r>
          <rPr>
            <sz val="11"/>
            <color theme="1"/>
            <rFont val="Aptos Narrow"/>
            <family val="2"/>
            <scheme val="minor"/>
          </rPr>
          <t>Descripción calculada automáticamente a partir de código del artículo</t>
        </r>
      </text>
    </comment>
    <comment ref="C254" authorId="1" shapeId="0" xr:uid="{EA46BF1C-F701-4E79-995E-364772734395}">
      <text>
        <r>
          <rPr>
            <sz val="11"/>
            <color theme="1"/>
            <rFont val="Aptos Narrow"/>
            <family val="2"/>
            <scheme val="minor"/>
          </rPr>
          <t>Seleccione un valor de la lista</t>
        </r>
      </text>
    </comment>
    <comment ref="D254" authorId="1" shapeId="0" xr:uid="{1EE3D58E-F8A4-4F4B-B8D3-6A8AFA5580A4}">
      <text>
        <r>
          <rPr>
            <sz val="11"/>
            <color theme="1"/>
            <rFont val="Aptos Narrow"/>
            <family val="2"/>
            <scheme val="minor"/>
          </rPr>
          <t>Introduzca un número con dos decimales como máximo. Debe ser igual o mayor a la "Cantidad Real Consumida"</t>
        </r>
      </text>
    </comment>
    <comment ref="E254" authorId="1" shapeId="0" xr:uid="{C4E90D04-8FA5-4C6F-9537-D9499F8B07CB}">
      <text>
        <r>
          <rPr>
            <sz val="11"/>
            <color theme="1"/>
            <rFont val="Aptos Narrow"/>
            <family val="2"/>
            <scheme val="minor"/>
          </rPr>
          <t>Introduzca un número con dos decimales como máximo</t>
        </r>
      </text>
    </comment>
    <comment ref="F254" authorId="1" shapeId="0" xr:uid="{90EC930C-2BFD-48A8-9D10-381CFE5C8F44}">
      <text>
        <r>
          <rPr>
            <sz val="11"/>
            <color theme="1"/>
            <rFont val="Aptos Narrow"/>
            <family val="2"/>
            <scheme val="minor"/>
          </rPr>
          <t>Monto calculado automáticamente por el sistema</t>
        </r>
      </text>
    </comment>
    <comment ref="A259" authorId="1" shapeId="0" xr:uid="{5FB52C43-3429-4611-A562-B0510AE00210}">
      <text>
        <r>
          <rPr>
            <sz val="11"/>
            <color theme="1"/>
            <rFont val="Aptos Narrow"/>
            <family val="2"/>
            <scheme val="minor"/>
          </rPr>
          <t>Introducir un texto con el nombre o referencia de la contratación</t>
        </r>
      </text>
    </comment>
    <comment ref="B259" authorId="1" shapeId="0" xr:uid="{33C04356-08CF-436E-964E-EC5C7D1B74DF}">
      <text>
        <r>
          <rPr>
            <sz val="11"/>
            <color theme="1"/>
            <rFont val="Aptos Narrow"/>
            <family val="2"/>
            <scheme val="minor"/>
          </rPr>
          <t>Introduzca un texto con la finalidad de la contratación</t>
        </r>
      </text>
    </comment>
    <comment ref="C259" authorId="1" shapeId="0" xr:uid="{92B7A353-1C69-4E4F-82A1-05D3703B6C3A}">
      <text>
        <r>
          <rPr>
            <sz val="11"/>
            <color theme="1"/>
            <rFont val="Aptos Narrow"/>
            <family val="2"/>
            <scheme val="minor"/>
          </rPr>
          <t>Seleccionar un valor del listado</t>
        </r>
      </text>
    </comment>
    <comment ref="D259" authorId="1" shapeId="0" xr:uid="{E77DBA58-2949-413F-A2D8-4ACD47A04CA0}">
      <text>
        <r>
          <rPr>
            <sz val="11"/>
            <color theme="1"/>
            <rFont val="Aptos Narrow"/>
            <family val="2"/>
            <scheme val="minor"/>
          </rPr>
          <t>Seleccione el tipo de procedimiento</t>
        </r>
      </text>
    </comment>
    <comment ref="E259" authorId="1" shapeId="0" xr:uid="{030A98CB-259B-49BA-9845-9D298B5561F4}">
      <text>
        <r>
          <rPr>
            <sz val="11"/>
            <color theme="1"/>
            <rFont val="Aptos Narrow"/>
            <family val="2"/>
            <scheme val="minor"/>
          </rPr>
          <t>Seleccione un valor de la lista</t>
        </r>
      </text>
    </comment>
    <comment ref="F259" authorId="1" shapeId="0" xr:uid="{E1C8552D-C8EE-4A7E-A801-4D1927DBC8F9}">
      <text>
        <r>
          <rPr>
            <sz val="11"/>
            <color theme="1"/>
            <rFont val="Aptos Narrow"/>
            <family val="2"/>
            <scheme val="minor"/>
          </rPr>
          <t>Introduzca el código SNIP</t>
        </r>
      </text>
    </comment>
    <comment ref="C260" authorId="1" shapeId="0" xr:uid="{AD60CA98-B69B-45BD-98CE-2B64195F6671}">
      <text>
        <r>
          <rPr>
            <sz val="11"/>
            <color theme="1"/>
            <rFont val="Aptos Narrow"/>
            <family val="2"/>
            <scheme val="minor"/>
          </rPr>
          <t>Introduzca la fecha de inicio del proceso, en formato dd-mm-aaaa</t>
        </r>
      </text>
    </comment>
    <comment ref="F260" authorId="1" shapeId="0" xr:uid="{945B86EA-9427-4C14-887A-FBEC0B9A535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61" authorId="1" shapeId="0" xr:uid="{0FC1674F-6023-491D-A835-34DB5288508E}">
      <text/>
    </comment>
    <comment ref="C262" authorId="1" shapeId="0" xr:uid="{B0323AED-BFA4-4388-A854-88FCDFC9B0BB}">
      <text>
        <r>
          <rPr>
            <sz val="11"/>
            <color theme="1"/>
            <rFont val="Aptos Narrow"/>
            <family val="2"/>
            <scheme val="minor"/>
          </rPr>
          <t>Introduzca la fecha prevista de adjudicación, en formato dd-mm-aaaa</t>
        </r>
      </text>
    </comment>
    <comment ref="F262" authorId="1" shapeId="0" xr:uid="{69018EFA-808B-475F-9516-9432F4912818}">
      <text/>
    </comment>
    <comment ref="F263" authorId="1" shapeId="0" xr:uid="{6CE3B221-FAE0-47BF-B860-3278F2EFF884}">
      <text/>
    </comment>
    <comment ref="A265" authorId="1" shapeId="0" xr:uid="{558DDC8F-ADE9-4730-B7AA-6492994AA27C}">
      <text>
        <r>
          <rPr>
            <sz val="11"/>
            <color theme="1"/>
            <rFont val="Aptos Narrow"/>
            <family val="2"/>
            <scheme val="minor"/>
          </rPr>
          <t>Introduzca un codigo UNSPSC</t>
        </r>
      </text>
    </comment>
    <comment ref="B265" authorId="1" shapeId="0" xr:uid="{D4FF8446-61E2-4AE9-A862-CF8E5DAF36CF}">
      <text>
        <r>
          <rPr>
            <sz val="11"/>
            <color theme="1"/>
            <rFont val="Aptos Narrow"/>
            <family val="2"/>
            <scheme val="minor"/>
          </rPr>
          <t>Descripción calculada automáticamente a partir de código del artículo</t>
        </r>
      </text>
    </comment>
    <comment ref="C265" authorId="1" shapeId="0" xr:uid="{6FD3AD3B-C25D-455F-A500-EB30374D306D}">
      <text>
        <r>
          <rPr>
            <sz val="11"/>
            <color theme="1"/>
            <rFont val="Aptos Narrow"/>
            <family val="2"/>
            <scheme val="minor"/>
          </rPr>
          <t>Seleccione un valor de la lista</t>
        </r>
      </text>
    </comment>
    <comment ref="D265" authorId="1" shapeId="0" xr:uid="{C8A7DE03-EAA7-4786-BCF9-F44F1D28A9E6}">
      <text>
        <r>
          <rPr>
            <sz val="11"/>
            <color theme="1"/>
            <rFont val="Aptos Narrow"/>
            <family val="2"/>
            <scheme val="minor"/>
          </rPr>
          <t>Introduzca un número con dos decimales como máximo. Debe ser igual o mayor a la "Cantidad Real Consumida"</t>
        </r>
      </text>
    </comment>
    <comment ref="E265" authorId="1" shapeId="0" xr:uid="{4B17B1AF-1C64-48F4-873F-A0775AD83B51}">
      <text>
        <r>
          <rPr>
            <sz val="11"/>
            <color theme="1"/>
            <rFont val="Aptos Narrow"/>
            <family val="2"/>
            <scheme val="minor"/>
          </rPr>
          <t>Introduzca un número con dos decimales como máximo</t>
        </r>
      </text>
    </comment>
    <comment ref="F265" authorId="1" shapeId="0" xr:uid="{0343E398-83CE-49EF-8156-E9C7DF739F9D}">
      <text>
        <r>
          <rPr>
            <sz val="11"/>
            <color theme="1"/>
            <rFont val="Aptos Narrow"/>
            <family val="2"/>
            <scheme val="minor"/>
          </rPr>
          <t>Monto calculado automáticamente por el sistema</t>
        </r>
      </text>
    </comment>
    <comment ref="A270" authorId="1" shapeId="0" xr:uid="{116CEF37-A715-4E07-ADA0-E072511242D4}">
      <text>
        <r>
          <rPr>
            <sz val="11"/>
            <color theme="1"/>
            <rFont val="Aptos Narrow"/>
            <family val="2"/>
            <scheme val="minor"/>
          </rPr>
          <t>Introducir un texto con el nombre o referencia de la contratación</t>
        </r>
      </text>
    </comment>
    <comment ref="B270" authorId="1" shapeId="0" xr:uid="{9EC4FF4E-CAC0-4956-B109-054651C3F82D}">
      <text>
        <r>
          <rPr>
            <sz val="11"/>
            <color theme="1"/>
            <rFont val="Aptos Narrow"/>
            <family val="2"/>
            <scheme val="minor"/>
          </rPr>
          <t>Introduzca un texto con la finalidad de la contratación</t>
        </r>
      </text>
    </comment>
    <comment ref="C270" authorId="1" shapeId="0" xr:uid="{DD24BBF3-F00B-4FB8-AFCB-27D88CA009B3}">
      <text>
        <r>
          <rPr>
            <sz val="11"/>
            <color theme="1"/>
            <rFont val="Aptos Narrow"/>
            <family val="2"/>
            <scheme val="minor"/>
          </rPr>
          <t>Seleccionar un valor del listado</t>
        </r>
      </text>
    </comment>
    <comment ref="D270" authorId="1" shapeId="0" xr:uid="{64B3266E-ABA1-4384-A46F-7867D9004B9F}">
      <text>
        <r>
          <rPr>
            <sz val="11"/>
            <color theme="1"/>
            <rFont val="Aptos Narrow"/>
            <family val="2"/>
            <scheme val="minor"/>
          </rPr>
          <t>Seleccione el tipo de procedimiento</t>
        </r>
      </text>
    </comment>
    <comment ref="E270" authorId="1" shapeId="0" xr:uid="{52C8DA53-9218-4FBB-B392-DAA8F7A32D30}">
      <text>
        <r>
          <rPr>
            <sz val="11"/>
            <color theme="1"/>
            <rFont val="Aptos Narrow"/>
            <family val="2"/>
            <scheme val="minor"/>
          </rPr>
          <t>Seleccione un valor de la lista</t>
        </r>
      </text>
    </comment>
    <comment ref="F270" authorId="1" shapeId="0" xr:uid="{62E9EC8B-78A4-4433-93A0-F1BBA04B78B0}">
      <text>
        <r>
          <rPr>
            <sz val="11"/>
            <color theme="1"/>
            <rFont val="Aptos Narrow"/>
            <family val="2"/>
            <scheme val="minor"/>
          </rPr>
          <t>Introduzca el código SNIP</t>
        </r>
      </text>
    </comment>
    <comment ref="C271" authorId="1" shapeId="0" xr:uid="{C1844143-7EC6-487A-8437-215514C132D7}">
      <text>
        <r>
          <rPr>
            <sz val="11"/>
            <color theme="1"/>
            <rFont val="Aptos Narrow"/>
            <family val="2"/>
            <scheme val="minor"/>
          </rPr>
          <t>Introduzca la fecha de inicio del proceso, en formato dd-mm-aaaa</t>
        </r>
      </text>
    </comment>
    <comment ref="F271" authorId="1" shapeId="0" xr:uid="{BC27B7A0-9F79-4B2F-A5ED-4C6D4AA8A65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2" authorId="1" shapeId="0" xr:uid="{F903ACF6-0157-458F-9089-EF0EACAB5457}">
      <text/>
    </comment>
    <comment ref="C273" authorId="1" shapeId="0" xr:uid="{01185C87-4739-4725-A9B3-E4A4A3DBCF44}">
      <text>
        <r>
          <rPr>
            <sz val="11"/>
            <color theme="1"/>
            <rFont val="Aptos Narrow"/>
            <family val="2"/>
            <scheme val="minor"/>
          </rPr>
          <t>Introduzca la fecha prevista de adjudicación, en formato dd-mm-aaaa</t>
        </r>
      </text>
    </comment>
    <comment ref="F273" authorId="1" shapeId="0" xr:uid="{03AB72F3-3986-43CC-809C-05554824F29D}">
      <text/>
    </comment>
    <comment ref="F274" authorId="1" shapeId="0" xr:uid="{FAEA0804-2597-4674-A1EB-4B064694FB0D}">
      <text/>
    </comment>
    <comment ref="A276" authorId="1" shapeId="0" xr:uid="{C111952A-C600-4001-83C5-C7BA4D2B9932}">
      <text>
        <r>
          <rPr>
            <sz val="11"/>
            <color theme="1"/>
            <rFont val="Aptos Narrow"/>
            <family val="2"/>
            <scheme val="minor"/>
          </rPr>
          <t>Introduzca un codigo UNSPSC</t>
        </r>
      </text>
    </comment>
    <comment ref="B276" authorId="1" shapeId="0" xr:uid="{9D078FC6-70A0-4684-8FD2-1B01790E58E2}">
      <text>
        <r>
          <rPr>
            <sz val="11"/>
            <color theme="1"/>
            <rFont val="Aptos Narrow"/>
            <family val="2"/>
            <scheme val="minor"/>
          </rPr>
          <t>Descripción calculada automáticamente a partir de código del artículo</t>
        </r>
      </text>
    </comment>
    <comment ref="C276" authorId="1" shapeId="0" xr:uid="{A27B8281-CC72-46EC-856A-92D401761387}">
      <text>
        <r>
          <rPr>
            <sz val="11"/>
            <color theme="1"/>
            <rFont val="Aptos Narrow"/>
            <family val="2"/>
            <scheme val="minor"/>
          </rPr>
          <t>Seleccione un valor de la lista</t>
        </r>
      </text>
    </comment>
    <comment ref="D276" authorId="1" shapeId="0" xr:uid="{1EDCB896-B3C4-4183-8CB7-CF60EE0F958F}">
      <text>
        <r>
          <rPr>
            <sz val="11"/>
            <color theme="1"/>
            <rFont val="Aptos Narrow"/>
            <family val="2"/>
            <scheme val="minor"/>
          </rPr>
          <t>Introduzca un número con dos decimales como máximo. Debe ser igual o mayor a la "Cantidad Real Consumida"</t>
        </r>
      </text>
    </comment>
    <comment ref="E276" authorId="1" shapeId="0" xr:uid="{41301308-62CF-4090-96D9-62CBDA8A520E}">
      <text>
        <r>
          <rPr>
            <sz val="11"/>
            <color theme="1"/>
            <rFont val="Aptos Narrow"/>
            <family val="2"/>
            <scheme val="minor"/>
          </rPr>
          <t>Introduzca un número con dos decimales como máximo</t>
        </r>
      </text>
    </comment>
    <comment ref="F276" authorId="1" shapeId="0" xr:uid="{3CC31E51-B73F-4A2D-9E3D-399283DF4802}">
      <text>
        <r>
          <rPr>
            <sz val="11"/>
            <color theme="1"/>
            <rFont val="Aptos Narrow"/>
            <family val="2"/>
            <scheme val="minor"/>
          </rPr>
          <t>Monto calculado automáticamente por el sistema</t>
        </r>
      </text>
    </comment>
    <comment ref="A281" authorId="1" shapeId="0" xr:uid="{BC82CB78-67CC-40A1-B636-3585CDB57185}">
      <text>
        <r>
          <rPr>
            <sz val="11"/>
            <color theme="1"/>
            <rFont val="Aptos Narrow"/>
            <family val="2"/>
            <scheme val="minor"/>
          </rPr>
          <t>Introducir un texto con el nombre o referencia de la contratación</t>
        </r>
      </text>
    </comment>
    <comment ref="B281" authorId="1" shapeId="0" xr:uid="{655C7268-82BA-4B74-B9C3-2E15E5377F45}">
      <text>
        <r>
          <rPr>
            <sz val="11"/>
            <color theme="1"/>
            <rFont val="Aptos Narrow"/>
            <family val="2"/>
            <scheme val="minor"/>
          </rPr>
          <t>Introduzca un texto con la finalidad de la contratación</t>
        </r>
      </text>
    </comment>
    <comment ref="C281" authorId="1" shapeId="0" xr:uid="{9A49DCF0-42F8-4698-9B88-EB6A8426FCEF}">
      <text>
        <r>
          <rPr>
            <sz val="11"/>
            <color theme="1"/>
            <rFont val="Aptos Narrow"/>
            <family val="2"/>
            <scheme val="minor"/>
          </rPr>
          <t>Seleccionar un valor del listado</t>
        </r>
      </text>
    </comment>
    <comment ref="D281" authorId="1" shapeId="0" xr:uid="{619F922E-E492-46EC-A80C-CD0D35345484}">
      <text>
        <r>
          <rPr>
            <sz val="11"/>
            <color theme="1"/>
            <rFont val="Aptos Narrow"/>
            <family val="2"/>
            <scheme val="minor"/>
          </rPr>
          <t>Seleccione el tipo de procedimiento</t>
        </r>
      </text>
    </comment>
    <comment ref="E281" authorId="1" shapeId="0" xr:uid="{339A8E6B-A794-43FA-A515-6D49C8D0F4C8}">
      <text>
        <r>
          <rPr>
            <sz val="11"/>
            <color theme="1"/>
            <rFont val="Aptos Narrow"/>
            <family val="2"/>
            <scheme val="minor"/>
          </rPr>
          <t>Seleccione un valor de la lista</t>
        </r>
      </text>
    </comment>
    <comment ref="F281" authorId="1" shapeId="0" xr:uid="{0DF7B7F4-A391-4BC2-A6CB-7E91912795BC}">
      <text>
        <r>
          <rPr>
            <sz val="11"/>
            <color theme="1"/>
            <rFont val="Aptos Narrow"/>
            <family val="2"/>
            <scheme val="minor"/>
          </rPr>
          <t>Introduzca el código SNIP</t>
        </r>
      </text>
    </comment>
    <comment ref="C282" authorId="1" shapeId="0" xr:uid="{B1CA69E3-CA84-4FEF-93B1-DA5BDBDBDF04}">
      <text>
        <r>
          <rPr>
            <sz val="11"/>
            <color theme="1"/>
            <rFont val="Aptos Narrow"/>
            <family val="2"/>
            <scheme val="minor"/>
          </rPr>
          <t>Introduzca la fecha de inicio del proceso, en formato dd-mm-aaaa</t>
        </r>
      </text>
    </comment>
    <comment ref="F282" authorId="1" shapeId="0" xr:uid="{FDA38BE0-3938-474C-A53B-CDF8AC4ED0F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3" authorId="1" shapeId="0" xr:uid="{1A742289-2B88-482D-9549-7F4EF86C9B4E}">
      <text/>
    </comment>
    <comment ref="C284" authorId="1" shapeId="0" xr:uid="{F616A3CB-7BEE-4086-B2F8-89AB89825F4B}">
      <text>
        <r>
          <rPr>
            <sz val="11"/>
            <color theme="1"/>
            <rFont val="Aptos Narrow"/>
            <family val="2"/>
            <scheme val="minor"/>
          </rPr>
          <t>Introduzca la fecha prevista de adjudicación, en formato dd-mm-aaaa</t>
        </r>
      </text>
    </comment>
    <comment ref="F284" authorId="1" shapeId="0" xr:uid="{B4EC2F15-BCAC-4816-9176-93E42111BADF}">
      <text/>
    </comment>
    <comment ref="F285" authorId="1" shapeId="0" xr:uid="{56E800DC-2816-46FB-A604-C6BF625D26BA}">
      <text/>
    </comment>
    <comment ref="A287" authorId="1" shapeId="0" xr:uid="{9F1928D1-2F4F-4FF4-8CB3-B146C304B02E}">
      <text>
        <r>
          <rPr>
            <sz val="11"/>
            <color theme="1"/>
            <rFont val="Aptos Narrow"/>
            <family val="2"/>
            <scheme val="minor"/>
          </rPr>
          <t>Introduzca un codigo UNSPSC</t>
        </r>
      </text>
    </comment>
    <comment ref="B287" authorId="1" shapeId="0" xr:uid="{F62909FC-5553-414B-88B0-8CC126B2EFF2}">
      <text>
        <r>
          <rPr>
            <sz val="11"/>
            <color theme="1"/>
            <rFont val="Aptos Narrow"/>
            <family val="2"/>
            <scheme val="minor"/>
          </rPr>
          <t>Descripción calculada automáticamente a partir de código del artículo</t>
        </r>
      </text>
    </comment>
    <comment ref="C287" authorId="1" shapeId="0" xr:uid="{DA6D3A0F-EC30-4106-A1ED-B16B606A7E6E}">
      <text>
        <r>
          <rPr>
            <sz val="11"/>
            <color theme="1"/>
            <rFont val="Aptos Narrow"/>
            <family val="2"/>
            <scheme val="minor"/>
          </rPr>
          <t>Seleccione un valor de la lista</t>
        </r>
      </text>
    </comment>
    <comment ref="D287" authorId="1" shapeId="0" xr:uid="{FE526E42-699E-4674-8EA7-B7DE9DCDCF43}">
      <text>
        <r>
          <rPr>
            <sz val="11"/>
            <color theme="1"/>
            <rFont val="Aptos Narrow"/>
            <family val="2"/>
            <scheme val="minor"/>
          </rPr>
          <t>Introduzca un número con dos decimales como máximo. Debe ser igual o mayor a la "Cantidad Real Consumida"</t>
        </r>
      </text>
    </comment>
    <comment ref="E287" authorId="1" shapeId="0" xr:uid="{5F0C001B-ED60-4EFF-AE26-31E1E290F2AF}">
      <text>
        <r>
          <rPr>
            <sz val="11"/>
            <color theme="1"/>
            <rFont val="Aptos Narrow"/>
            <family val="2"/>
            <scheme val="minor"/>
          </rPr>
          <t>Introduzca un número con dos decimales como máximo</t>
        </r>
      </text>
    </comment>
    <comment ref="F287" authorId="1" shapeId="0" xr:uid="{2A4A4D09-1CD5-4DF0-A8EA-F32B26F3627D}">
      <text>
        <r>
          <rPr>
            <sz val="11"/>
            <color theme="1"/>
            <rFont val="Aptos Narrow"/>
            <family val="2"/>
            <scheme val="minor"/>
          </rPr>
          <t>Monto calculado automáticamente por el sistema</t>
        </r>
      </text>
    </comment>
    <comment ref="A292" authorId="1" shapeId="0" xr:uid="{FD340AE9-3FE7-4DDB-82B8-3954467B6191}">
      <text>
        <r>
          <rPr>
            <sz val="11"/>
            <color theme="1"/>
            <rFont val="Aptos Narrow"/>
            <family val="2"/>
            <scheme val="minor"/>
          </rPr>
          <t>Introducir un texto con el nombre o referencia de la contratación</t>
        </r>
      </text>
    </comment>
    <comment ref="B292" authorId="1" shapeId="0" xr:uid="{9BD1A469-0B60-46FA-A7F1-24AA9D3F2555}">
      <text>
        <r>
          <rPr>
            <sz val="11"/>
            <color theme="1"/>
            <rFont val="Aptos Narrow"/>
            <family val="2"/>
            <scheme val="minor"/>
          </rPr>
          <t>Introduzca un texto con la finalidad de la contratación</t>
        </r>
      </text>
    </comment>
    <comment ref="C292" authorId="1" shapeId="0" xr:uid="{3E98782E-6F2E-4BCB-A01E-6E5A6DD6F65F}">
      <text>
        <r>
          <rPr>
            <sz val="11"/>
            <color theme="1"/>
            <rFont val="Aptos Narrow"/>
            <family val="2"/>
            <scheme val="minor"/>
          </rPr>
          <t>Seleccionar un valor del listado</t>
        </r>
      </text>
    </comment>
    <comment ref="D292" authorId="1" shapeId="0" xr:uid="{6496D854-828D-42EC-AED2-D26E4B4A844F}">
      <text>
        <r>
          <rPr>
            <sz val="11"/>
            <color theme="1"/>
            <rFont val="Aptos Narrow"/>
            <family val="2"/>
            <scheme val="minor"/>
          </rPr>
          <t>Seleccione el tipo de procedimiento</t>
        </r>
      </text>
    </comment>
    <comment ref="E292" authorId="1" shapeId="0" xr:uid="{D4092305-9153-4890-A030-D7A75AA06EF7}">
      <text>
        <r>
          <rPr>
            <sz val="11"/>
            <color theme="1"/>
            <rFont val="Aptos Narrow"/>
            <family val="2"/>
            <scheme val="minor"/>
          </rPr>
          <t>Seleccione un valor de la lista</t>
        </r>
      </text>
    </comment>
    <comment ref="F292" authorId="1" shapeId="0" xr:uid="{88633176-42D0-41DD-92DD-052930D67E6D}">
      <text>
        <r>
          <rPr>
            <sz val="11"/>
            <color theme="1"/>
            <rFont val="Aptos Narrow"/>
            <family val="2"/>
            <scheme val="minor"/>
          </rPr>
          <t>Introduzca el código SNIP</t>
        </r>
      </text>
    </comment>
    <comment ref="C293" authorId="1" shapeId="0" xr:uid="{D56EC941-A9DD-4AA3-9FCF-36A641CDDDE2}">
      <text>
        <r>
          <rPr>
            <sz val="11"/>
            <color theme="1"/>
            <rFont val="Aptos Narrow"/>
            <family val="2"/>
            <scheme val="minor"/>
          </rPr>
          <t>Introduzca la fecha de inicio del proceso, en formato dd-mm-aaaa</t>
        </r>
      </text>
    </comment>
    <comment ref="F293" authorId="1" shapeId="0" xr:uid="{9A4A233F-2019-4C63-906C-1835A9EFC75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4" authorId="1" shapeId="0" xr:uid="{64021DB5-661A-44B5-B991-4E5DDB3A1E96}">
      <text/>
    </comment>
    <comment ref="C295" authorId="1" shapeId="0" xr:uid="{6B2EA307-738C-4F1B-A16E-8E1148385D43}">
      <text>
        <r>
          <rPr>
            <sz val="11"/>
            <color theme="1"/>
            <rFont val="Aptos Narrow"/>
            <family val="2"/>
            <scheme val="minor"/>
          </rPr>
          <t>Introduzca la fecha prevista de adjudicación, en formato dd-mm-aaaa</t>
        </r>
      </text>
    </comment>
    <comment ref="F295" authorId="1" shapeId="0" xr:uid="{7762F62D-1C63-46AB-88DD-242BCF0D194C}">
      <text/>
    </comment>
    <comment ref="F296" authorId="1" shapeId="0" xr:uid="{2C1A5AA1-5F3B-4D60-AA2C-29235E4C7712}">
      <text/>
    </comment>
    <comment ref="A298" authorId="1" shapeId="0" xr:uid="{A8AFCEFB-942D-4EA6-8AF5-867E5E7F890E}">
      <text>
        <r>
          <rPr>
            <sz val="11"/>
            <color theme="1"/>
            <rFont val="Aptos Narrow"/>
            <family val="2"/>
            <scheme val="minor"/>
          </rPr>
          <t>Introduzca un codigo UNSPSC</t>
        </r>
      </text>
    </comment>
    <comment ref="B298" authorId="1" shapeId="0" xr:uid="{DAAE1786-8D98-4743-B28C-B8B283F7ECDE}">
      <text>
        <r>
          <rPr>
            <sz val="11"/>
            <color theme="1"/>
            <rFont val="Aptos Narrow"/>
            <family val="2"/>
            <scheme val="minor"/>
          </rPr>
          <t>Descripción calculada automáticamente a partir de código del artículo</t>
        </r>
      </text>
    </comment>
    <comment ref="C298" authorId="1" shapeId="0" xr:uid="{95FDC029-127E-4191-9319-FC083FA83F8B}">
      <text>
        <r>
          <rPr>
            <sz val="11"/>
            <color theme="1"/>
            <rFont val="Aptos Narrow"/>
            <family val="2"/>
            <scheme val="minor"/>
          </rPr>
          <t>Seleccione un valor de la lista</t>
        </r>
      </text>
    </comment>
    <comment ref="D298" authorId="1" shapeId="0" xr:uid="{2914DE30-3EC0-4BE0-8025-202E6CD7AC91}">
      <text>
        <r>
          <rPr>
            <sz val="11"/>
            <color theme="1"/>
            <rFont val="Aptos Narrow"/>
            <family val="2"/>
            <scheme val="minor"/>
          </rPr>
          <t>Introduzca un número con dos decimales como máximo. Debe ser igual o mayor a la "Cantidad Real Consumida"</t>
        </r>
      </text>
    </comment>
    <comment ref="E298" authorId="1" shapeId="0" xr:uid="{856BC954-B623-4052-8C31-8AB4C6F59C22}">
      <text>
        <r>
          <rPr>
            <sz val="11"/>
            <color theme="1"/>
            <rFont val="Aptos Narrow"/>
            <family val="2"/>
            <scheme val="minor"/>
          </rPr>
          <t>Introduzca un número con dos decimales como máximo</t>
        </r>
      </text>
    </comment>
    <comment ref="F298" authorId="1" shapeId="0" xr:uid="{18116896-D38A-4CB1-8E6F-87CCD297FEE0}">
      <text>
        <r>
          <rPr>
            <sz val="11"/>
            <color theme="1"/>
            <rFont val="Aptos Narrow"/>
            <family val="2"/>
            <scheme val="minor"/>
          </rPr>
          <t>Monto calculado automáticamente por el sistema</t>
        </r>
      </text>
    </comment>
    <comment ref="A320" authorId="1" shapeId="0" xr:uid="{826C122B-B388-4896-B113-0BDFD74C5A50}">
      <text>
        <r>
          <rPr>
            <sz val="11"/>
            <color theme="1"/>
            <rFont val="Aptos Narrow"/>
            <family val="2"/>
            <scheme val="minor"/>
          </rPr>
          <t>Introducir un texto con el nombre o referencia de la contratación</t>
        </r>
      </text>
    </comment>
    <comment ref="B320" authorId="1" shapeId="0" xr:uid="{5180CF31-3C02-4758-A1AD-56F73F14D40B}">
      <text>
        <r>
          <rPr>
            <sz val="11"/>
            <color theme="1"/>
            <rFont val="Aptos Narrow"/>
            <family val="2"/>
            <scheme val="minor"/>
          </rPr>
          <t>Introduzca un texto con la finalidad de la contratación</t>
        </r>
      </text>
    </comment>
    <comment ref="C320" authorId="1" shapeId="0" xr:uid="{E6B90B89-8642-45FA-B10F-D8A19A76D65E}">
      <text>
        <r>
          <rPr>
            <sz val="11"/>
            <color theme="1"/>
            <rFont val="Aptos Narrow"/>
            <family val="2"/>
            <scheme val="minor"/>
          </rPr>
          <t>Seleccionar un valor del listado</t>
        </r>
      </text>
    </comment>
    <comment ref="D320" authorId="1" shapeId="0" xr:uid="{CE7E5AF3-304F-488F-AE5C-7DD865CEFADF}">
      <text>
        <r>
          <rPr>
            <sz val="11"/>
            <color theme="1"/>
            <rFont val="Aptos Narrow"/>
            <family val="2"/>
            <scheme val="minor"/>
          </rPr>
          <t>Seleccione el tipo de procedimiento</t>
        </r>
      </text>
    </comment>
    <comment ref="E320" authorId="1" shapeId="0" xr:uid="{C4B9930B-380C-4010-8F87-5B50D8E7CA6A}">
      <text>
        <r>
          <rPr>
            <sz val="11"/>
            <color theme="1"/>
            <rFont val="Aptos Narrow"/>
            <family val="2"/>
            <scheme val="minor"/>
          </rPr>
          <t>Seleccione un valor de la lista</t>
        </r>
      </text>
    </comment>
    <comment ref="F320" authorId="1" shapeId="0" xr:uid="{005B0CB2-3B43-4062-BF09-490E306491C2}">
      <text>
        <r>
          <rPr>
            <sz val="11"/>
            <color theme="1"/>
            <rFont val="Aptos Narrow"/>
            <family val="2"/>
            <scheme val="minor"/>
          </rPr>
          <t>Introduzca el código SNIP</t>
        </r>
      </text>
    </comment>
    <comment ref="C321" authorId="1" shapeId="0" xr:uid="{3C5C7EE6-23B9-46D3-A26A-AB2CA022EC6C}">
      <text>
        <r>
          <rPr>
            <sz val="11"/>
            <color theme="1"/>
            <rFont val="Aptos Narrow"/>
            <family val="2"/>
            <scheme val="minor"/>
          </rPr>
          <t>Introduzca la fecha de inicio del proceso, en formato dd-mm-aaaa</t>
        </r>
      </text>
    </comment>
    <comment ref="F321" authorId="1" shapeId="0" xr:uid="{FE31526B-BB34-40E0-83A0-3DA7567F30A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2" authorId="1" shapeId="0" xr:uid="{7B36541A-D7ED-47E4-9848-1FA3E8250720}">
      <text/>
    </comment>
    <comment ref="C323" authorId="1" shapeId="0" xr:uid="{49BEC0AE-F2AF-4900-A769-29FBD544E32F}">
      <text>
        <r>
          <rPr>
            <sz val="11"/>
            <color theme="1"/>
            <rFont val="Aptos Narrow"/>
            <family val="2"/>
            <scheme val="minor"/>
          </rPr>
          <t>Introduzca la fecha prevista de adjudicación, en formato dd-mm-aaaa</t>
        </r>
      </text>
    </comment>
    <comment ref="F323" authorId="1" shapeId="0" xr:uid="{6F1BBC47-11BB-4000-9624-394E252B08A3}">
      <text/>
    </comment>
    <comment ref="F324" authorId="1" shapeId="0" xr:uid="{2202760D-2CDA-4211-8DE9-D7FEFC8977E8}">
      <text/>
    </comment>
    <comment ref="A326" authorId="1" shapeId="0" xr:uid="{8C45006C-073B-4096-BA12-B9B84B90C316}">
      <text>
        <r>
          <rPr>
            <sz val="11"/>
            <color theme="1"/>
            <rFont val="Aptos Narrow"/>
            <family val="2"/>
            <scheme val="minor"/>
          </rPr>
          <t>Introduzca un codigo UNSPSC</t>
        </r>
      </text>
    </comment>
    <comment ref="B326" authorId="1" shapeId="0" xr:uid="{68EF63DE-1237-4157-B21E-86C625530DA2}">
      <text>
        <r>
          <rPr>
            <sz val="11"/>
            <color theme="1"/>
            <rFont val="Aptos Narrow"/>
            <family val="2"/>
            <scheme val="minor"/>
          </rPr>
          <t>Descripción calculada automáticamente a partir de código del artículo</t>
        </r>
      </text>
    </comment>
    <comment ref="C326" authorId="1" shapeId="0" xr:uid="{2934865F-568B-48F6-8FE1-FE5BD1AC8D9B}">
      <text>
        <r>
          <rPr>
            <sz val="11"/>
            <color theme="1"/>
            <rFont val="Aptos Narrow"/>
            <family val="2"/>
            <scheme val="minor"/>
          </rPr>
          <t>Seleccione un valor de la lista</t>
        </r>
      </text>
    </comment>
    <comment ref="D326" authorId="1" shapeId="0" xr:uid="{8020CE08-EE0D-4472-A215-14DA7619B588}">
      <text>
        <r>
          <rPr>
            <sz val="11"/>
            <color theme="1"/>
            <rFont val="Aptos Narrow"/>
            <family val="2"/>
            <scheme val="minor"/>
          </rPr>
          <t>Introduzca un número con dos decimales como máximo. Debe ser igual o mayor a la "Cantidad Real Consumida"</t>
        </r>
      </text>
    </comment>
    <comment ref="E326" authorId="1" shapeId="0" xr:uid="{21856EE3-752D-4306-B7A9-B43873508361}">
      <text>
        <r>
          <rPr>
            <sz val="11"/>
            <color theme="1"/>
            <rFont val="Aptos Narrow"/>
            <family val="2"/>
            <scheme val="minor"/>
          </rPr>
          <t>Introduzca un número con dos decimales como máximo</t>
        </r>
      </text>
    </comment>
    <comment ref="F326" authorId="1" shapeId="0" xr:uid="{DC00BC95-6DB8-40C9-9304-0F110E75302E}">
      <text>
        <r>
          <rPr>
            <sz val="11"/>
            <color theme="1"/>
            <rFont val="Aptos Narrow"/>
            <family val="2"/>
            <scheme val="minor"/>
          </rPr>
          <t>Monto calculado automáticamente por el sistema</t>
        </r>
      </text>
    </comment>
    <comment ref="A334" authorId="1" shapeId="0" xr:uid="{C9C40D35-240E-4B02-8A25-3163200E179B}">
      <text>
        <r>
          <rPr>
            <sz val="11"/>
            <color theme="1"/>
            <rFont val="Aptos Narrow"/>
            <family val="2"/>
            <scheme val="minor"/>
          </rPr>
          <t>Introducir un texto con el nombre o referencia de la contratación</t>
        </r>
      </text>
    </comment>
    <comment ref="B334" authorId="1" shapeId="0" xr:uid="{55908B00-6A4B-4114-B99B-E55DC714BC9C}">
      <text>
        <r>
          <rPr>
            <sz val="11"/>
            <color theme="1"/>
            <rFont val="Aptos Narrow"/>
            <family val="2"/>
            <scheme val="minor"/>
          </rPr>
          <t>Introduzca un texto con la finalidad de la contratación</t>
        </r>
      </text>
    </comment>
    <comment ref="C334" authorId="1" shapeId="0" xr:uid="{D48FEC44-C59C-47D6-AF64-F33F80BCBAD5}">
      <text>
        <r>
          <rPr>
            <sz val="11"/>
            <color theme="1"/>
            <rFont val="Aptos Narrow"/>
            <family val="2"/>
            <scheme val="minor"/>
          </rPr>
          <t>Seleccionar un valor del listado</t>
        </r>
      </text>
    </comment>
    <comment ref="D334" authorId="1" shapeId="0" xr:uid="{09528DA7-F0C3-404C-8B73-1D263D118BDD}">
      <text>
        <r>
          <rPr>
            <sz val="11"/>
            <color theme="1"/>
            <rFont val="Aptos Narrow"/>
            <family val="2"/>
            <scheme val="minor"/>
          </rPr>
          <t>Seleccione el tipo de procedimiento</t>
        </r>
      </text>
    </comment>
    <comment ref="E334" authorId="1" shapeId="0" xr:uid="{8D6C2C36-F7AC-433A-B556-17696D38AD3A}">
      <text>
        <r>
          <rPr>
            <sz val="11"/>
            <color theme="1"/>
            <rFont val="Aptos Narrow"/>
            <family val="2"/>
            <scheme val="minor"/>
          </rPr>
          <t>Seleccione un valor de la lista</t>
        </r>
      </text>
    </comment>
    <comment ref="F334" authorId="1" shapeId="0" xr:uid="{095E9DC9-E7D8-42E4-934D-30E179901AD4}">
      <text>
        <r>
          <rPr>
            <sz val="11"/>
            <color theme="1"/>
            <rFont val="Aptos Narrow"/>
            <family val="2"/>
            <scheme val="minor"/>
          </rPr>
          <t>Introduzca el código SNIP</t>
        </r>
      </text>
    </comment>
    <comment ref="C335" authorId="1" shapeId="0" xr:uid="{8EB19123-B10F-4A71-83C7-AE797475BE39}">
      <text>
        <r>
          <rPr>
            <sz val="11"/>
            <color theme="1"/>
            <rFont val="Aptos Narrow"/>
            <family val="2"/>
            <scheme val="minor"/>
          </rPr>
          <t>Introduzca la fecha de inicio del proceso, en formato dd-mm-aaaa</t>
        </r>
      </text>
    </comment>
    <comment ref="F335" authorId="1" shapeId="0" xr:uid="{3C06AEBF-2FAB-459F-8EAB-9549D1C9383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6" authorId="1" shapeId="0" xr:uid="{B4D5CF91-E0E9-4142-A471-CF0F2375BF92}">
      <text/>
    </comment>
    <comment ref="C337" authorId="1" shapeId="0" xr:uid="{C9550DBD-BD58-4904-9593-A7D4460FC3CD}">
      <text>
        <r>
          <rPr>
            <sz val="11"/>
            <color theme="1"/>
            <rFont val="Aptos Narrow"/>
            <family val="2"/>
            <scheme val="minor"/>
          </rPr>
          <t>Introduzca la fecha prevista de adjudicación, en formato dd-mm-aaaa</t>
        </r>
      </text>
    </comment>
    <comment ref="F337" authorId="1" shapeId="0" xr:uid="{1B477916-6E3A-4558-9101-06E650DDC922}">
      <text/>
    </comment>
    <comment ref="F338" authorId="1" shapeId="0" xr:uid="{17BAE76D-CBAA-4508-ABC1-68F3A639C0FC}">
      <text/>
    </comment>
    <comment ref="A340" authorId="1" shapeId="0" xr:uid="{41893686-2E35-44B7-85F9-63DF7B87A33D}">
      <text>
        <r>
          <rPr>
            <sz val="11"/>
            <color theme="1"/>
            <rFont val="Aptos Narrow"/>
            <family val="2"/>
            <scheme val="minor"/>
          </rPr>
          <t>Introduzca un codigo UNSPSC</t>
        </r>
      </text>
    </comment>
    <comment ref="B340" authorId="1" shapeId="0" xr:uid="{2D3170DF-E7E9-427C-AFA5-28F1A23FBB95}">
      <text>
        <r>
          <rPr>
            <sz val="11"/>
            <color theme="1"/>
            <rFont val="Aptos Narrow"/>
            <family val="2"/>
            <scheme val="minor"/>
          </rPr>
          <t>Descripción calculada automáticamente a partir de código del artículo</t>
        </r>
      </text>
    </comment>
    <comment ref="C340" authorId="1" shapeId="0" xr:uid="{44024906-0EA5-48A7-B35E-E0D53545F537}">
      <text>
        <r>
          <rPr>
            <sz val="11"/>
            <color theme="1"/>
            <rFont val="Aptos Narrow"/>
            <family val="2"/>
            <scheme val="minor"/>
          </rPr>
          <t>Seleccione un valor de la lista</t>
        </r>
      </text>
    </comment>
    <comment ref="D340" authorId="1" shapeId="0" xr:uid="{88486197-C154-4FE3-9A1F-DC0CEF51FB2F}">
      <text>
        <r>
          <rPr>
            <sz val="11"/>
            <color theme="1"/>
            <rFont val="Aptos Narrow"/>
            <family val="2"/>
            <scheme val="minor"/>
          </rPr>
          <t>Introduzca un número con dos decimales como máximo. Debe ser igual o mayor a la "Cantidad Real Consumida"</t>
        </r>
      </text>
    </comment>
    <comment ref="E340" authorId="1" shapeId="0" xr:uid="{86BF01DA-F9D5-4145-8550-E8472111712B}">
      <text>
        <r>
          <rPr>
            <sz val="11"/>
            <color theme="1"/>
            <rFont val="Aptos Narrow"/>
            <family val="2"/>
            <scheme val="minor"/>
          </rPr>
          <t>Introduzca un número con dos decimales como máximo</t>
        </r>
      </text>
    </comment>
    <comment ref="F340" authorId="1" shapeId="0" xr:uid="{603C80E0-F264-46EB-84C5-CCE9DAAD58CB}">
      <text>
        <r>
          <rPr>
            <sz val="11"/>
            <color theme="1"/>
            <rFont val="Aptos Narrow"/>
            <family val="2"/>
            <scheme val="minor"/>
          </rPr>
          <t>Monto calculado automáticamente por el sistema</t>
        </r>
      </text>
    </comment>
    <comment ref="A347" authorId="1" shapeId="0" xr:uid="{9E061720-3A3E-4CDE-87A4-F03E768DDA35}">
      <text>
        <r>
          <rPr>
            <sz val="11"/>
            <color theme="1"/>
            <rFont val="Aptos Narrow"/>
            <family val="2"/>
            <scheme val="minor"/>
          </rPr>
          <t>Introducir un texto con el nombre o referencia de la contratación</t>
        </r>
      </text>
    </comment>
    <comment ref="B347" authorId="1" shapeId="0" xr:uid="{CBCCECFA-2159-401D-8BDF-CDBE761667FF}">
      <text>
        <r>
          <rPr>
            <sz val="11"/>
            <color theme="1"/>
            <rFont val="Aptos Narrow"/>
            <family val="2"/>
            <scheme val="minor"/>
          </rPr>
          <t>Introduzca un texto con la finalidad de la contratación</t>
        </r>
      </text>
    </comment>
    <comment ref="C347" authorId="1" shapeId="0" xr:uid="{3E9BFA5C-89C3-4A3F-8BCF-EF4F75BE085D}">
      <text>
        <r>
          <rPr>
            <sz val="11"/>
            <color theme="1"/>
            <rFont val="Aptos Narrow"/>
            <family val="2"/>
            <scheme val="minor"/>
          </rPr>
          <t>Seleccionar un valor del listado</t>
        </r>
      </text>
    </comment>
    <comment ref="D347" authorId="1" shapeId="0" xr:uid="{D083C739-3CEE-49C9-A12A-02840C894178}">
      <text>
        <r>
          <rPr>
            <sz val="11"/>
            <color theme="1"/>
            <rFont val="Aptos Narrow"/>
            <family val="2"/>
            <scheme val="minor"/>
          </rPr>
          <t>Seleccione el tipo de procedimiento</t>
        </r>
      </text>
    </comment>
    <comment ref="E347" authorId="1" shapeId="0" xr:uid="{EDCFAD0A-5B80-4F35-8B94-25306CC69D09}">
      <text>
        <r>
          <rPr>
            <sz val="11"/>
            <color theme="1"/>
            <rFont val="Aptos Narrow"/>
            <family val="2"/>
            <scheme val="minor"/>
          </rPr>
          <t>Seleccione un valor de la lista</t>
        </r>
      </text>
    </comment>
    <comment ref="F347" authorId="1" shapeId="0" xr:uid="{64CD1D50-9A29-4281-82A6-E4A237599E7B}">
      <text>
        <r>
          <rPr>
            <sz val="11"/>
            <color theme="1"/>
            <rFont val="Aptos Narrow"/>
            <family val="2"/>
            <scheme val="minor"/>
          </rPr>
          <t>Introduzca el código SNIP</t>
        </r>
      </text>
    </comment>
    <comment ref="C348" authorId="1" shapeId="0" xr:uid="{9B909432-B0C5-4EB1-BE39-504AB75C0844}">
      <text>
        <r>
          <rPr>
            <sz val="11"/>
            <color theme="1"/>
            <rFont val="Aptos Narrow"/>
            <family val="2"/>
            <scheme val="minor"/>
          </rPr>
          <t>Introduzca la fecha de inicio del proceso, en formato dd-mm-aaaa</t>
        </r>
      </text>
    </comment>
    <comment ref="F348" authorId="1" shapeId="0" xr:uid="{614DD797-6DC2-4107-B7E1-45C75DA432D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9" authorId="1" shapeId="0" xr:uid="{6ACF11D9-9EE7-42C3-BE6C-F56869A78377}">
      <text/>
    </comment>
    <comment ref="C350" authorId="1" shapeId="0" xr:uid="{B76DB0DA-A497-4275-8E4D-08EF67E60CC5}">
      <text>
        <r>
          <rPr>
            <sz val="11"/>
            <color theme="1"/>
            <rFont val="Aptos Narrow"/>
            <family val="2"/>
            <scheme val="minor"/>
          </rPr>
          <t>Introduzca la fecha prevista de adjudicación, en formato dd-mm-aaaa</t>
        </r>
      </text>
    </comment>
    <comment ref="F350" authorId="1" shapeId="0" xr:uid="{B338BE12-D4B1-4930-90B2-3F0C5DE00D32}">
      <text/>
    </comment>
    <comment ref="F351" authorId="1" shapeId="0" xr:uid="{7299E501-76AF-4D86-A538-82E7511ADF0D}">
      <text/>
    </comment>
    <comment ref="A353" authorId="1" shapeId="0" xr:uid="{58D64289-DDDA-4507-90E1-0E8DA3041C93}">
      <text>
        <r>
          <rPr>
            <sz val="11"/>
            <color theme="1"/>
            <rFont val="Aptos Narrow"/>
            <family val="2"/>
            <scheme val="minor"/>
          </rPr>
          <t>Introduzca un codigo UNSPSC</t>
        </r>
      </text>
    </comment>
    <comment ref="B353" authorId="1" shapeId="0" xr:uid="{AB17015A-5C15-4813-8FDE-4DA166F6B640}">
      <text>
        <r>
          <rPr>
            <sz val="11"/>
            <color theme="1"/>
            <rFont val="Aptos Narrow"/>
            <family val="2"/>
            <scheme val="minor"/>
          </rPr>
          <t>Descripción calculada automáticamente a partir de código del artículo</t>
        </r>
      </text>
    </comment>
    <comment ref="C353" authorId="1" shapeId="0" xr:uid="{8FAE7A01-EB3B-4E0A-A570-29CC0E1F8991}">
      <text>
        <r>
          <rPr>
            <sz val="11"/>
            <color theme="1"/>
            <rFont val="Aptos Narrow"/>
            <family val="2"/>
            <scheme val="minor"/>
          </rPr>
          <t>Seleccione un valor de la lista</t>
        </r>
      </text>
    </comment>
    <comment ref="D353" authorId="1" shapeId="0" xr:uid="{DE85EBFA-4F6C-4395-A903-1B5DF773E91D}">
      <text>
        <r>
          <rPr>
            <sz val="11"/>
            <color theme="1"/>
            <rFont val="Aptos Narrow"/>
            <family val="2"/>
            <scheme val="minor"/>
          </rPr>
          <t>Introduzca un número con dos decimales como máximo. Debe ser igual o mayor a la "Cantidad Real Consumida"</t>
        </r>
      </text>
    </comment>
    <comment ref="E353" authorId="1" shapeId="0" xr:uid="{68C104E2-DC98-4453-9881-84F6A19CA1F1}">
      <text>
        <r>
          <rPr>
            <sz val="11"/>
            <color theme="1"/>
            <rFont val="Aptos Narrow"/>
            <family val="2"/>
            <scheme val="minor"/>
          </rPr>
          <t>Introduzca un número con dos decimales como máximo</t>
        </r>
      </text>
    </comment>
    <comment ref="F353" authorId="1" shapeId="0" xr:uid="{B0611996-902D-4624-91D8-84ECE19BAE20}">
      <text>
        <r>
          <rPr>
            <sz val="11"/>
            <color theme="1"/>
            <rFont val="Aptos Narrow"/>
            <family val="2"/>
            <scheme val="minor"/>
          </rPr>
          <t>Monto calculado automáticamente por el sistema</t>
        </r>
      </text>
    </comment>
    <comment ref="A358" authorId="1" shapeId="0" xr:uid="{EB146008-9527-4729-AA79-7434196DA0FF}">
      <text>
        <r>
          <rPr>
            <sz val="11"/>
            <color theme="1"/>
            <rFont val="Aptos Narrow"/>
            <family val="2"/>
            <scheme val="minor"/>
          </rPr>
          <t>Introducir un texto con el nombre o referencia de la contratación</t>
        </r>
      </text>
    </comment>
    <comment ref="B358" authorId="1" shapeId="0" xr:uid="{B2CAD1B2-D300-4A9B-9C99-F8EC525C1B5D}">
      <text>
        <r>
          <rPr>
            <sz val="11"/>
            <color theme="1"/>
            <rFont val="Aptos Narrow"/>
            <family val="2"/>
            <scheme val="minor"/>
          </rPr>
          <t>Introduzca un texto con la finalidad de la contratación</t>
        </r>
      </text>
    </comment>
    <comment ref="C358" authorId="1" shapeId="0" xr:uid="{CD74C05E-0B07-40D6-954E-052866628DAB}">
      <text>
        <r>
          <rPr>
            <sz val="11"/>
            <color theme="1"/>
            <rFont val="Aptos Narrow"/>
            <family val="2"/>
            <scheme val="minor"/>
          </rPr>
          <t>Seleccionar un valor del listado</t>
        </r>
      </text>
    </comment>
    <comment ref="D358" authorId="1" shapeId="0" xr:uid="{308FAEC2-8625-4009-8773-6975F41D86BB}">
      <text>
        <r>
          <rPr>
            <sz val="11"/>
            <color theme="1"/>
            <rFont val="Aptos Narrow"/>
            <family val="2"/>
            <scheme val="minor"/>
          </rPr>
          <t>Seleccione el tipo de procedimiento</t>
        </r>
      </text>
    </comment>
    <comment ref="E358" authorId="1" shapeId="0" xr:uid="{6BEC2771-EFD1-4CBD-9A70-26E6C6C004C9}">
      <text>
        <r>
          <rPr>
            <sz val="11"/>
            <color theme="1"/>
            <rFont val="Aptos Narrow"/>
            <family val="2"/>
            <scheme val="minor"/>
          </rPr>
          <t>Seleccione un valor de la lista</t>
        </r>
      </text>
    </comment>
    <comment ref="F358" authorId="1" shapeId="0" xr:uid="{56B840B7-39E9-4CBC-9FDF-F5A4A7F12C32}">
      <text>
        <r>
          <rPr>
            <sz val="11"/>
            <color theme="1"/>
            <rFont val="Aptos Narrow"/>
            <family val="2"/>
            <scheme val="minor"/>
          </rPr>
          <t>Introduzca el código SNIP</t>
        </r>
      </text>
    </comment>
    <comment ref="C359" authorId="1" shapeId="0" xr:uid="{64004E9E-27A2-41FE-9377-E062478F5439}">
      <text>
        <r>
          <rPr>
            <sz val="11"/>
            <color theme="1"/>
            <rFont val="Aptos Narrow"/>
            <family val="2"/>
            <scheme val="minor"/>
          </rPr>
          <t>Introduzca la fecha de inicio del proceso, en formato dd-mm-aaaa</t>
        </r>
      </text>
    </comment>
    <comment ref="F359" authorId="1" shapeId="0" xr:uid="{3FA94EFC-E7AD-4CC0-943D-2BB52AC7797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0" authorId="1" shapeId="0" xr:uid="{2BE21011-1260-473A-ABEB-F508A6E16D35}">
      <text/>
    </comment>
    <comment ref="C361" authorId="1" shapeId="0" xr:uid="{763E2C2F-5912-484C-A437-2F6541ABC8CA}">
      <text>
        <r>
          <rPr>
            <sz val="11"/>
            <color theme="1"/>
            <rFont val="Aptos Narrow"/>
            <family val="2"/>
            <scheme val="minor"/>
          </rPr>
          <t>Introduzca la fecha prevista de adjudicación, en formato dd-mm-aaaa</t>
        </r>
      </text>
    </comment>
    <comment ref="F361" authorId="1" shapeId="0" xr:uid="{01FC912C-E3C6-4E23-ADF7-CE56A19AFF0C}">
      <text/>
    </comment>
    <comment ref="F362" authorId="1" shapeId="0" xr:uid="{38E80779-6CA4-4A50-8448-BD7C0BFB2B2A}">
      <text/>
    </comment>
    <comment ref="A364" authorId="1" shapeId="0" xr:uid="{BEE84114-B937-4BE4-921C-7EF1DC367D69}">
      <text>
        <r>
          <rPr>
            <sz val="11"/>
            <color theme="1"/>
            <rFont val="Aptos Narrow"/>
            <family val="2"/>
            <scheme val="minor"/>
          </rPr>
          <t>Introduzca un codigo UNSPSC</t>
        </r>
      </text>
    </comment>
    <comment ref="B364" authorId="1" shapeId="0" xr:uid="{39A14DAA-2316-43EB-90FC-5E8C0EFE0E31}">
      <text>
        <r>
          <rPr>
            <sz val="11"/>
            <color theme="1"/>
            <rFont val="Aptos Narrow"/>
            <family val="2"/>
            <scheme val="minor"/>
          </rPr>
          <t>Descripción calculada automáticamente a partir de código del artículo</t>
        </r>
      </text>
    </comment>
    <comment ref="C364" authorId="1" shapeId="0" xr:uid="{E9D2C8EC-2BC6-43E2-9A65-F9B20298106E}">
      <text>
        <r>
          <rPr>
            <sz val="11"/>
            <color theme="1"/>
            <rFont val="Aptos Narrow"/>
            <family val="2"/>
            <scheme val="minor"/>
          </rPr>
          <t>Seleccione un valor de la lista</t>
        </r>
      </text>
    </comment>
    <comment ref="D364" authorId="1" shapeId="0" xr:uid="{27EBE0D9-C67D-418B-9549-B21EAE87A393}">
      <text>
        <r>
          <rPr>
            <sz val="11"/>
            <color theme="1"/>
            <rFont val="Aptos Narrow"/>
            <family val="2"/>
            <scheme val="minor"/>
          </rPr>
          <t>Introduzca un número con dos decimales como máximo. Debe ser igual o mayor a la "Cantidad Real Consumida"</t>
        </r>
      </text>
    </comment>
    <comment ref="E364" authorId="1" shapeId="0" xr:uid="{7E1F2E95-B599-490C-A633-62AECAA53A8D}">
      <text>
        <r>
          <rPr>
            <sz val="11"/>
            <color theme="1"/>
            <rFont val="Aptos Narrow"/>
            <family val="2"/>
            <scheme val="minor"/>
          </rPr>
          <t>Introduzca un número con dos decimales como máximo</t>
        </r>
      </text>
    </comment>
    <comment ref="F364" authorId="1" shapeId="0" xr:uid="{BD1C12D2-3AF6-4BFC-AFD8-37079DFD86F3}">
      <text>
        <r>
          <rPr>
            <sz val="11"/>
            <color theme="1"/>
            <rFont val="Aptos Narrow"/>
            <family val="2"/>
            <scheme val="minor"/>
          </rPr>
          <t>Monto calculado automáticamente por el sistema</t>
        </r>
      </text>
    </comment>
    <comment ref="A369" authorId="1" shapeId="0" xr:uid="{8DB3E1AB-DB95-48BF-ADF2-4A359486F8BA}">
      <text>
        <r>
          <rPr>
            <sz val="11"/>
            <color theme="1"/>
            <rFont val="Aptos Narrow"/>
            <family val="2"/>
            <scheme val="minor"/>
          </rPr>
          <t>Introducir un texto con el nombre o referencia de la contratación</t>
        </r>
      </text>
    </comment>
    <comment ref="B369" authorId="1" shapeId="0" xr:uid="{728C18DC-368F-4559-A6A5-238E224FBAA3}">
      <text>
        <r>
          <rPr>
            <sz val="11"/>
            <color theme="1"/>
            <rFont val="Aptos Narrow"/>
            <family val="2"/>
            <scheme val="minor"/>
          </rPr>
          <t>Introduzca un texto con la finalidad de la contratación</t>
        </r>
      </text>
    </comment>
    <comment ref="C369" authorId="1" shapeId="0" xr:uid="{9F1469AB-D74F-4485-9AA9-4EDC6576BF27}">
      <text>
        <r>
          <rPr>
            <sz val="11"/>
            <color theme="1"/>
            <rFont val="Aptos Narrow"/>
            <family val="2"/>
            <scheme val="minor"/>
          </rPr>
          <t>Seleccionar un valor del listado</t>
        </r>
      </text>
    </comment>
    <comment ref="D369" authorId="1" shapeId="0" xr:uid="{1A2D306F-A1E5-4A9D-846C-640EF800E18D}">
      <text>
        <r>
          <rPr>
            <sz val="11"/>
            <color theme="1"/>
            <rFont val="Aptos Narrow"/>
            <family val="2"/>
            <scheme val="minor"/>
          </rPr>
          <t>Seleccione el tipo de procedimiento</t>
        </r>
      </text>
    </comment>
    <comment ref="E369" authorId="1" shapeId="0" xr:uid="{00B96A1E-742D-4783-BCFC-114FCA054CDA}">
      <text>
        <r>
          <rPr>
            <sz val="11"/>
            <color theme="1"/>
            <rFont val="Aptos Narrow"/>
            <family val="2"/>
            <scheme val="minor"/>
          </rPr>
          <t>Seleccione un valor de la lista</t>
        </r>
      </text>
    </comment>
    <comment ref="F369" authorId="1" shapeId="0" xr:uid="{B073E4B3-0CE1-47DC-8DD3-511E2298AEF1}">
      <text>
        <r>
          <rPr>
            <sz val="11"/>
            <color theme="1"/>
            <rFont val="Aptos Narrow"/>
            <family val="2"/>
            <scheme val="minor"/>
          </rPr>
          <t>Introduzca el código SNIP</t>
        </r>
      </text>
    </comment>
    <comment ref="C370" authorId="1" shapeId="0" xr:uid="{910CA412-0901-45DC-AAD3-21AD965FBAF3}">
      <text>
        <r>
          <rPr>
            <sz val="11"/>
            <color theme="1"/>
            <rFont val="Aptos Narrow"/>
            <family val="2"/>
            <scheme val="minor"/>
          </rPr>
          <t>Introduzca la fecha de inicio del proceso, en formato dd-mm-aaaa</t>
        </r>
      </text>
    </comment>
    <comment ref="F370" authorId="1" shapeId="0" xr:uid="{EE29BBF4-D3EE-4C12-91AE-B66C4DFD4B3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1" authorId="1" shapeId="0" xr:uid="{6387F268-7366-4A47-8419-A9524BD26964}">
      <text/>
    </comment>
    <comment ref="C372" authorId="1" shapeId="0" xr:uid="{D1FD2277-E80F-40AD-AE29-1EC687F5D009}">
      <text>
        <r>
          <rPr>
            <sz val="11"/>
            <color theme="1"/>
            <rFont val="Aptos Narrow"/>
            <family val="2"/>
            <scheme val="minor"/>
          </rPr>
          <t>Introduzca la fecha prevista de adjudicación, en formato dd-mm-aaaa</t>
        </r>
      </text>
    </comment>
    <comment ref="F372" authorId="1" shapeId="0" xr:uid="{0FB76038-FD92-4854-96D0-43FBF213FC0C}">
      <text/>
    </comment>
    <comment ref="F373" authorId="1" shapeId="0" xr:uid="{6C2E52A0-3F67-4B6C-B622-892BB63EE403}">
      <text/>
    </comment>
    <comment ref="A375" authorId="1" shapeId="0" xr:uid="{D4218B39-EED3-49D5-978B-295F2F21719A}">
      <text>
        <r>
          <rPr>
            <sz val="11"/>
            <color theme="1"/>
            <rFont val="Aptos Narrow"/>
            <family val="2"/>
            <scheme val="minor"/>
          </rPr>
          <t>Introduzca un codigo UNSPSC</t>
        </r>
      </text>
    </comment>
    <comment ref="B375" authorId="1" shapeId="0" xr:uid="{894D7E97-A7D1-4291-8C6A-F03148D5F0F0}">
      <text>
        <r>
          <rPr>
            <sz val="11"/>
            <color theme="1"/>
            <rFont val="Aptos Narrow"/>
            <family val="2"/>
            <scheme val="minor"/>
          </rPr>
          <t>Descripción calculada automáticamente a partir de código del artículo</t>
        </r>
      </text>
    </comment>
    <comment ref="C375" authorId="1" shapeId="0" xr:uid="{9A9CE039-853A-47AC-A26C-CC1C440B39A3}">
      <text>
        <r>
          <rPr>
            <sz val="11"/>
            <color theme="1"/>
            <rFont val="Aptos Narrow"/>
            <family val="2"/>
            <scheme val="minor"/>
          </rPr>
          <t>Seleccione un valor de la lista</t>
        </r>
      </text>
    </comment>
    <comment ref="D375" authorId="1" shapeId="0" xr:uid="{51F31ED8-63F5-4A23-B7BF-F0F9E7A7CD2F}">
      <text>
        <r>
          <rPr>
            <sz val="11"/>
            <color theme="1"/>
            <rFont val="Aptos Narrow"/>
            <family val="2"/>
            <scheme val="minor"/>
          </rPr>
          <t>Introduzca un número con dos decimales como máximo. Debe ser igual o mayor a la "Cantidad Real Consumida"</t>
        </r>
      </text>
    </comment>
    <comment ref="E375" authorId="1" shapeId="0" xr:uid="{566D88E5-260E-4E2A-A43F-750294EE430B}">
      <text>
        <r>
          <rPr>
            <sz val="11"/>
            <color theme="1"/>
            <rFont val="Aptos Narrow"/>
            <family val="2"/>
            <scheme val="minor"/>
          </rPr>
          <t>Introduzca un número con dos decimales como máximo</t>
        </r>
      </text>
    </comment>
    <comment ref="F375" authorId="1" shapeId="0" xr:uid="{DC93C9DD-8470-42EC-8A1D-A511917018BB}">
      <text>
        <r>
          <rPr>
            <sz val="11"/>
            <color theme="1"/>
            <rFont val="Aptos Narrow"/>
            <family val="2"/>
            <scheme val="minor"/>
          </rPr>
          <t>Monto calculado automáticamente por el sistema</t>
        </r>
      </text>
    </comment>
    <comment ref="A381" authorId="1" shapeId="0" xr:uid="{D207365E-1055-4384-9A09-AE0E6BDB8C9B}">
      <text>
        <r>
          <rPr>
            <sz val="11"/>
            <color theme="1"/>
            <rFont val="Aptos Narrow"/>
            <family val="2"/>
            <scheme val="minor"/>
          </rPr>
          <t>Introducir un texto con el nombre o referencia de la contratación</t>
        </r>
      </text>
    </comment>
    <comment ref="B381" authorId="1" shapeId="0" xr:uid="{5FDAD1D4-EE87-4D24-99DA-5ADA7D5CFDE0}">
      <text>
        <r>
          <rPr>
            <sz val="11"/>
            <color theme="1"/>
            <rFont val="Aptos Narrow"/>
            <family val="2"/>
            <scheme val="minor"/>
          </rPr>
          <t>Introduzca un texto con la finalidad de la contratación</t>
        </r>
      </text>
    </comment>
    <comment ref="C381" authorId="1" shapeId="0" xr:uid="{8C33C622-CF7B-4536-9A14-CE4413106B1C}">
      <text>
        <r>
          <rPr>
            <sz val="11"/>
            <color theme="1"/>
            <rFont val="Aptos Narrow"/>
            <family val="2"/>
            <scheme val="minor"/>
          </rPr>
          <t>Seleccionar un valor del listado</t>
        </r>
      </text>
    </comment>
    <comment ref="D381" authorId="1" shapeId="0" xr:uid="{A14C969B-B6E2-43FC-AAC2-67D6D57EDC35}">
      <text>
        <r>
          <rPr>
            <sz val="11"/>
            <color theme="1"/>
            <rFont val="Aptos Narrow"/>
            <family val="2"/>
            <scheme val="minor"/>
          </rPr>
          <t>Seleccione el tipo de procedimiento</t>
        </r>
      </text>
    </comment>
    <comment ref="E381" authorId="1" shapeId="0" xr:uid="{64252965-0D2F-4FD9-A2EB-1C09860C7596}">
      <text>
        <r>
          <rPr>
            <sz val="11"/>
            <color theme="1"/>
            <rFont val="Aptos Narrow"/>
            <family val="2"/>
            <scheme val="minor"/>
          </rPr>
          <t>Seleccione un valor de la lista</t>
        </r>
      </text>
    </comment>
    <comment ref="F381" authorId="1" shapeId="0" xr:uid="{34146011-C096-49DC-9478-FB30565DA3E7}">
      <text>
        <r>
          <rPr>
            <sz val="11"/>
            <color theme="1"/>
            <rFont val="Aptos Narrow"/>
            <family val="2"/>
            <scheme val="minor"/>
          </rPr>
          <t>Introduzca el código SNIP</t>
        </r>
      </text>
    </comment>
    <comment ref="C382" authorId="1" shapeId="0" xr:uid="{352DCF85-EC90-4692-A591-CEBA5B31E332}">
      <text>
        <r>
          <rPr>
            <sz val="11"/>
            <color theme="1"/>
            <rFont val="Aptos Narrow"/>
            <family val="2"/>
            <scheme val="minor"/>
          </rPr>
          <t>Introduzca la fecha de inicio del proceso, en formato dd-mm-aaaa</t>
        </r>
      </text>
    </comment>
    <comment ref="F382" authorId="1" shapeId="0" xr:uid="{EB9A6668-D9D6-4AB7-8AB9-420A24ED9DC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3" authorId="1" shapeId="0" xr:uid="{398D6C6D-CBB8-4A57-B4AC-FE7F6722EC60}">
      <text/>
    </comment>
    <comment ref="C384" authorId="1" shapeId="0" xr:uid="{D49D6E62-7097-42E2-926A-8906422BBB2F}">
      <text>
        <r>
          <rPr>
            <sz val="11"/>
            <color theme="1"/>
            <rFont val="Aptos Narrow"/>
            <family val="2"/>
            <scheme val="minor"/>
          </rPr>
          <t>Introduzca la fecha prevista de adjudicación, en formato dd-mm-aaaa</t>
        </r>
      </text>
    </comment>
    <comment ref="F384" authorId="1" shapeId="0" xr:uid="{6AED9292-FA2F-41AF-960B-C8AC0A64703D}">
      <text/>
    </comment>
    <comment ref="F385" authorId="1" shapeId="0" xr:uid="{4BE06E63-4AD9-4CAB-9FE6-07D491692721}">
      <text/>
    </comment>
    <comment ref="A387" authorId="1" shapeId="0" xr:uid="{69547CE8-3789-4B45-B74D-06C6898DC7C8}">
      <text>
        <r>
          <rPr>
            <sz val="11"/>
            <color theme="1"/>
            <rFont val="Aptos Narrow"/>
            <family val="2"/>
            <scheme val="minor"/>
          </rPr>
          <t>Introduzca un codigo UNSPSC</t>
        </r>
      </text>
    </comment>
    <comment ref="B387" authorId="1" shapeId="0" xr:uid="{43156C6F-C275-44CD-A5E6-2473436CCE01}">
      <text>
        <r>
          <rPr>
            <sz val="11"/>
            <color theme="1"/>
            <rFont val="Aptos Narrow"/>
            <family val="2"/>
            <scheme val="minor"/>
          </rPr>
          <t>Descripción calculada automáticamente a partir de código del artículo</t>
        </r>
      </text>
    </comment>
    <comment ref="C387" authorId="1" shapeId="0" xr:uid="{0E10BE55-34F6-4F11-99E7-A692098E227B}">
      <text>
        <r>
          <rPr>
            <sz val="11"/>
            <color theme="1"/>
            <rFont val="Aptos Narrow"/>
            <family val="2"/>
            <scheme val="minor"/>
          </rPr>
          <t>Seleccione un valor de la lista</t>
        </r>
      </text>
    </comment>
    <comment ref="D387" authorId="1" shapeId="0" xr:uid="{92B6E876-46FE-4C97-8FA0-29848B553D27}">
      <text>
        <r>
          <rPr>
            <sz val="11"/>
            <color theme="1"/>
            <rFont val="Aptos Narrow"/>
            <family val="2"/>
            <scheme val="minor"/>
          </rPr>
          <t>Introduzca un número con dos decimales como máximo. Debe ser igual o mayor a la "Cantidad Real Consumida"</t>
        </r>
      </text>
    </comment>
    <comment ref="E387" authorId="1" shapeId="0" xr:uid="{7AA5B0F8-E136-44E6-8D9F-154489CEFE38}">
      <text>
        <r>
          <rPr>
            <sz val="11"/>
            <color theme="1"/>
            <rFont val="Aptos Narrow"/>
            <family val="2"/>
            <scheme val="minor"/>
          </rPr>
          <t>Introduzca un número con dos decimales como máximo</t>
        </r>
      </text>
    </comment>
    <comment ref="F387" authorId="1" shapeId="0" xr:uid="{9985694B-F4F2-4244-BFAB-8BC296140C8F}">
      <text>
        <r>
          <rPr>
            <sz val="11"/>
            <color theme="1"/>
            <rFont val="Aptos Narrow"/>
            <family val="2"/>
            <scheme val="minor"/>
          </rPr>
          <t>Monto calculado automáticamente por el sistema</t>
        </r>
      </text>
    </comment>
    <comment ref="A399" authorId="1" shapeId="0" xr:uid="{405F395B-101B-4FC5-B273-31CE158F4C2C}">
      <text>
        <r>
          <rPr>
            <sz val="11"/>
            <color theme="1"/>
            <rFont val="Aptos Narrow"/>
            <family val="2"/>
            <scheme val="minor"/>
          </rPr>
          <t>Introducir un texto con el nombre o referencia de la contratación</t>
        </r>
      </text>
    </comment>
    <comment ref="B399" authorId="1" shapeId="0" xr:uid="{B040C20E-7FD9-4790-95E7-89FFC4901170}">
      <text>
        <r>
          <rPr>
            <sz val="11"/>
            <color theme="1"/>
            <rFont val="Aptos Narrow"/>
            <family val="2"/>
            <scheme val="minor"/>
          </rPr>
          <t>Introduzca un texto con la finalidad de la contratación</t>
        </r>
      </text>
    </comment>
    <comment ref="C399" authorId="1" shapeId="0" xr:uid="{38A5AD9F-9E4A-4D28-8EDB-6B1067F8C744}">
      <text>
        <r>
          <rPr>
            <sz val="11"/>
            <color theme="1"/>
            <rFont val="Aptos Narrow"/>
            <family val="2"/>
            <scheme val="minor"/>
          </rPr>
          <t>Seleccionar un valor del listado</t>
        </r>
      </text>
    </comment>
    <comment ref="D399" authorId="1" shapeId="0" xr:uid="{314D82EF-20DD-4B8A-8DBB-4856D5F857D2}">
      <text>
        <r>
          <rPr>
            <sz val="11"/>
            <color theme="1"/>
            <rFont val="Aptos Narrow"/>
            <family val="2"/>
            <scheme val="minor"/>
          </rPr>
          <t>Seleccione el tipo de procedimiento</t>
        </r>
      </text>
    </comment>
    <comment ref="E399" authorId="1" shapeId="0" xr:uid="{870E1CCC-A807-4971-B074-5B2C3DDF4820}">
      <text>
        <r>
          <rPr>
            <sz val="11"/>
            <color theme="1"/>
            <rFont val="Aptos Narrow"/>
            <family val="2"/>
            <scheme val="minor"/>
          </rPr>
          <t>Seleccione un valor de la lista</t>
        </r>
      </text>
    </comment>
    <comment ref="F399" authorId="1" shapeId="0" xr:uid="{BF693C4D-65B8-4E4A-8B77-15A523CDB8B8}">
      <text>
        <r>
          <rPr>
            <sz val="11"/>
            <color theme="1"/>
            <rFont val="Aptos Narrow"/>
            <family val="2"/>
            <scheme val="minor"/>
          </rPr>
          <t>Introduzca el código SNIP</t>
        </r>
      </text>
    </comment>
    <comment ref="C400" authorId="1" shapeId="0" xr:uid="{6606EC1A-F80D-4179-ACB4-768B56F97A68}">
      <text>
        <r>
          <rPr>
            <sz val="11"/>
            <color theme="1"/>
            <rFont val="Aptos Narrow"/>
            <family val="2"/>
            <scheme val="minor"/>
          </rPr>
          <t>Introduzca la fecha de inicio del proceso, en formato dd-mm-aaaa</t>
        </r>
      </text>
    </comment>
    <comment ref="F400" authorId="1" shapeId="0" xr:uid="{57747219-A020-49FE-9725-0539F061187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1" authorId="1" shapeId="0" xr:uid="{1371306B-03CC-40B9-9E61-D73562225348}">
      <text/>
    </comment>
    <comment ref="C402" authorId="1" shapeId="0" xr:uid="{8E71FF80-C335-4381-B79B-846B97F19B49}">
      <text>
        <r>
          <rPr>
            <sz val="11"/>
            <color theme="1"/>
            <rFont val="Aptos Narrow"/>
            <family val="2"/>
            <scheme val="minor"/>
          </rPr>
          <t>Introduzca la fecha prevista de adjudicación, en formato dd-mm-aaaa</t>
        </r>
      </text>
    </comment>
    <comment ref="F402" authorId="1" shapeId="0" xr:uid="{76264DE3-2C30-4F54-9C77-7C17D57C647D}">
      <text/>
    </comment>
    <comment ref="F403" authorId="1" shapeId="0" xr:uid="{CBC4B7CA-594F-4601-8621-CFE19F421A59}">
      <text/>
    </comment>
    <comment ref="A405" authorId="1" shapeId="0" xr:uid="{576C64A3-3821-45A7-AC1B-144B826E988E}">
      <text>
        <r>
          <rPr>
            <sz val="11"/>
            <color theme="1"/>
            <rFont val="Aptos Narrow"/>
            <family val="2"/>
            <scheme val="minor"/>
          </rPr>
          <t>Introduzca un codigo UNSPSC</t>
        </r>
      </text>
    </comment>
    <comment ref="B405" authorId="1" shapeId="0" xr:uid="{B61C3E8A-A842-4816-9BA3-CF74A7C69E26}">
      <text>
        <r>
          <rPr>
            <sz val="11"/>
            <color theme="1"/>
            <rFont val="Aptos Narrow"/>
            <family val="2"/>
            <scheme val="minor"/>
          </rPr>
          <t>Descripción calculada automáticamente a partir de código del artículo</t>
        </r>
      </text>
    </comment>
    <comment ref="C405" authorId="1" shapeId="0" xr:uid="{268DC017-D462-4584-83CB-C18D961899FB}">
      <text>
        <r>
          <rPr>
            <sz val="11"/>
            <color theme="1"/>
            <rFont val="Aptos Narrow"/>
            <family val="2"/>
            <scheme val="minor"/>
          </rPr>
          <t>Seleccione un valor de la lista</t>
        </r>
      </text>
    </comment>
    <comment ref="D405" authorId="1" shapeId="0" xr:uid="{EE36DE42-5A1D-4A30-97F4-EA2766714DBD}">
      <text>
        <r>
          <rPr>
            <sz val="11"/>
            <color theme="1"/>
            <rFont val="Aptos Narrow"/>
            <family val="2"/>
            <scheme val="minor"/>
          </rPr>
          <t>Introduzca un número con dos decimales como máximo. Debe ser igual o mayor a la "Cantidad Real Consumida"</t>
        </r>
      </text>
    </comment>
    <comment ref="E405" authorId="1" shapeId="0" xr:uid="{232D6AD7-B56C-4BA0-B98E-E68E0A68600D}">
      <text>
        <r>
          <rPr>
            <sz val="11"/>
            <color theme="1"/>
            <rFont val="Aptos Narrow"/>
            <family val="2"/>
            <scheme val="minor"/>
          </rPr>
          <t>Introduzca un número con dos decimales como máximo</t>
        </r>
      </text>
    </comment>
    <comment ref="F405" authorId="1" shapeId="0" xr:uid="{FD829AC3-992F-42A5-8465-D6107124A913}">
      <text>
        <r>
          <rPr>
            <sz val="11"/>
            <color theme="1"/>
            <rFont val="Aptos Narrow"/>
            <family val="2"/>
            <scheme val="minor"/>
          </rPr>
          <t>Monto calculado automáticamente por el sistema</t>
        </r>
      </text>
    </comment>
    <comment ref="A422" authorId="1" shapeId="0" xr:uid="{BFE1EB69-8AFB-4B8C-B5FA-1780CF575E9B}">
      <text>
        <r>
          <rPr>
            <sz val="11"/>
            <color theme="1"/>
            <rFont val="Aptos Narrow"/>
            <family val="2"/>
            <scheme val="minor"/>
          </rPr>
          <t>Introducir un texto con el nombre o referencia de la contratación</t>
        </r>
      </text>
    </comment>
    <comment ref="B422" authorId="1" shapeId="0" xr:uid="{E5038FBE-4AF7-4BB6-985D-6F696275F021}">
      <text>
        <r>
          <rPr>
            <sz val="11"/>
            <color theme="1"/>
            <rFont val="Aptos Narrow"/>
            <family val="2"/>
            <scheme val="minor"/>
          </rPr>
          <t>Introduzca un texto con la finalidad de la contratación</t>
        </r>
      </text>
    </comment>
    <comment ref="C422" authorId="1" shapeId="0" xr:uid="{F4CCB2B8-41E7-478B-A057-69884D65A2E2}">
      <text>
        <r>
          <rPr>
            <sz val="11"/>
            <color theme="1"/>
            <rFont val="Aptos Narrow"/>
            <family val="2"/>
            <scheme val="minor"/>
          </rPr>
          <t>Seleccionar un valor del listado</t>
        </r>
      </text>
    </comment>
    <comment ref="D422" authorId="1" shapeId="0" xr:uid="{0825B2F6-F6E8-48B7-83D8-3C23DE6EC01E}">
      <text>
        <r>
          <rPr>
            <sz val="11"/>
            <color theme="1"/>
            <rFont val="Aptos Narrow"/>
            <family val="2"/>
            <scheme val="minor"/>
          </rPr>
          <t>Seleccione el tipo de procedimiento</t>
        </r>
      </text>
    </comment>
    <comment ref="E422" authorId="1" shapeId="0" xr:uid="{7CDA858C-F6B6-405A-9156-B584F7216EE5}">
      <text>
        <r>
          <rPr>
            <sz val="11"/>
            <color theme="1"/>
            <rFont val="Aptos Narrow"/>
            <family val="2"/>
            <scheme val="minor"/>
          </rPr>
          <t>Seleccione un valor de la lista</t>
        </r>
      </text>
    </comment>
    <comment ref="F422" authorId="1" shapeId="0" xr:uid="{28605627-597B-4BA3-9DC0-FA7735261B5D}">
      <text>
        <r>
          <rPr>
            <sz val="11"/>
            <color theme="1"/>
            <rFont val="Aptos Narrow"/>
            <family val="2"/>
            <scheme val="minor"/>
          </rPr>
          <t>Introduzca el código SNIP</t>
        </r>
      </text>
    </comment>
    <comment ref="C423" authorId="1" shapeId="0" xr:uid="{DEBCBC83-DC37-4DF2-A990-662F5E0AAB8C}">
      <text>
        <r>
          <rPr>
            <sz val="11"/>
            <color theme="1"/>
            <rFont val="Aptos Narrow"/>
            <family val="2"/>
            <scheme val="minor"/>
          </rPr>
          <t>Introduzca la fecha de inicio del proceso, en formato dd-mm-aaaa</t>
        </r>
      </text>
    </comment>
    <comment ref="F423" authorId="1" shapeId="0" xr:uid="{3C24F675-4808-4BDA-89DF-F639124781F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24" authorId="1" shapeId="0" xr:uid="{4A0B6546-283E-4CAD-9012-012DAF3BCFEE}">
      <text/>
    </comment>
    <comment ref="C425" authorId="1" shapeId="0" xr:uid="{66CFD9F5-C6C8-476A-A114-F0FCEDE6CA34}">
      <text>
        <r>
          <rPr>
            <sz val="11"/>
            <color theme="1"/>
            <rFont val="Aptos Narrow"/>
            <family val="2"/>
            <scheme val="minor"/>
          </rPr>
          <t>Introduzca la fecha prevista de adjudicación, en formato dd-mm-aaaa</t>
        </r>
      </text>
    </comment>
    <comment ref="F425" authorId="1" shapeId="0" xr:uid="{F48DFEB1-15B6-4B9B-8A79-923A92D8EB9C}">
      <text/>
    </comment>
    <comment ref="F426" authorId="1" shapeId="0" xr:uid="{246E9A1F-B7F9-4677-A50E-28C85BB65C5A}">
      <text/>
    </comment>
    <comment ref="A428" authorId="1" shapeId="0" xr:uid="{32C355C0-3FB3-474C-8F5E-C18D1ED81027}">
      <text>
        <r>
          <rPr>
            <sz val="11"/>
            <color theme="1"/>
            <rFont val="Aptos Narrow"/>
            <family val="2"/>
            <scheme val="minor"/>
          </rPr>
          <t>Introduzca un codigo UNSPSC</t>
        </r>
      </text>
    </comment>
    <comment ref="B428" authorId="1" shapeId="0" xr:uid="{AC4119E4-5025-437B-B0B6-2BD70EAA9DBB}">
      <text>
        <r>
          <rPr>
            <sz val="11"/>
            <color theme="1"/>
            <rFont val="Aptos Narrow"/>
            <family val="2"/>
            <scheme val="minor"/>
          </rPr>
          <t>Descripción calculada automáticamente a partir de código del artículo</t>
        </r>
      </text>
    </comment>
    <comment ref="C428" authorId="1" shapeId="0" xr:uid="{306935FD-19B9-4456-B634-6DA8C6CD72B4}">
      <text>
        <r>
          <rPr>
            <sz val="11"/>
            <color theme="1"/>
            <rFont val="Aptos Narrow"/>
            <family val="2"/>
            <scheme val="minor"/>
          </rPr>
          <t>Seleccione un valor de la lista</t>
        </r>
      </text>
    </comment>
    <comment ref="D428" authorId="1" shapeId="0" xr:uid="{3EDD57BC-DFE2-44AD-A91B-B3797ECEAA52}">
      <text>
        <r>
          <rPr>
            <sz val="11"/>
            <color theme="1"/>
            <rFont val="Aptos Narrow"/>
            <family val="2"/>
            <scheme val="minor"/>
          </rPr>
          <t>Introduzca un número con dos decimales como máximo. Debe ser igual o mayor a la "Cantidad Real Consumida"</t>
        </r>
      </text>
    </comment>
    <comment ref="E428" authorId="1" shapeId="0" xr:uid="{F5A7BF9B-A251-43AB-A38A-3A58DCC4879E}">
      <text>
        <r>
          <rPr>
            <sz val="11"/>
            <color theme="1"/>
            <rFont val="Aptos Narrow"/>
            <family val="2"/>
            <scheme val="minor"/>
          </rPr>
          <t>Introduzca un número con dos decimales como máximo</t>
        </r>
      </text>
    </comment>
    <comment ref="F428" authorId="1" shapeId="0" xr:uid="{71A7C26D-5171-43BA-8416-BFDE17AF070C}">
      <text>
        <r>
          <rPr>
            <sz val="11"/>
            <color theme="1"/>
            <rFont val="Aptos Narrow"/>
            <family val="2"/>
            <scheme val="minor"/>
          </rPr>
          <t>Monto calculado automáticamente por el sistema</t>
        </r>
      </text>
    </comment>
    <comment ref="A436" authorId="1" shapeId="0" xr:uid="{D44B3E73-5EE7-441E-A3F0-F851CAB51D13}">
      <text>
        <r>
          <rPr>
            <sz val="11"/>
            <color theme="1"/>
            <rFont val="Aptos Narrow"/>
            <family val="2"/>
            <scheme val="minor"/>
          </rPr>
          <t>Introducir un texto con el nombre o referencia de la contratación</t>
        </r>
      </text>
    </comment>
    <comment ref="B436" authorId="1" shapeId="0" xr:uid="{5E458A2C-8A74-40FD-BC4C-EEC7007CA231}">
      <text>
        <r>
          <rPr>
            <sz val="11"/>
            <color theme="1"/>
            <rFont val="Aptos Narrow"/>
            <family val="2"/>
            <scheme val="minor"/>
          </rPr>
          <t>Introduzca un texto con la finalidad de la contratación</t>
        </r>
      </text>
    </comment>
    <comment ref="C436" authorId="1" shapeId="0" xr:uid="{088B5F41-4D3D-4550-8E1D-F7876EED6707}">
      <text>
        <r>
          <rPr>
            <sz val="11"/>
            <color theme="1"/>
            <rFont val="Aptos Narrow"/>
            <family val="2"/>
            <scheme val="minor"/>
          </rPr>
          <t>Seleccionar un valor del listado</t>
        </r>
      </text>
    </comment>
    <comment ref="D436" authorId="1" shapeId="0" xr:uid="{BBC8343E-FEB0-40F3-9639-5CF33AE39B3E}">
      <text>
        <r>
          <rPr>
            <sz val="11"/>
            <color theme="1"/>
            <rFont val="Aptos Narrow"/>
            <family val="2"/>
            <scheme val="minor"/>
          </rPr>
          <t>Seleccione el tipo de procedimiento</t>
        </r>
      </text>
    </comment>
    <comment ref="E436" authorId="1" shapeId="0" xr:uid="{9A1B96E7-E4FC-4F2C-86BD-3889A9BBD5A8}">
      <text>
        <r>
          <rPr>
            <sz val="11"/>
            <color theme="1"/>
            <rFont val="Aptos Narrow"/>
            <family val="2"/>
            <scheme val="minor"/>
          </rPr>
          <t>Seleccione un valor de la lista</t>
        </r>
      </text>
    </comment>
    <comment ref="F436" authorId="1" shapeId="0" xr:uid="{89318476-DE7E-4852-9D51-0586C254EB6B}">
      <text>
        <r>
          <rPr>
            <sz val="11"/>
            <color theme="1"/>
            <rFont val="Aptos Narrow"/>
            <family val="2"/>
            <scheme val="minor"/>
          </rPr>
          <t>Introduzca el código SNIP</t>
        </r>
      </text>
    </comment>
    <comment ref="C437" authorId="1" shapeId="0" xr:uid="{ADBD14B5-12E1-49A7-9131-C48E53DF1B3C}">
      <text>
        <r>
          <rPr>
            <sz val="11"/>
            <color theme="1"/>
            <rFont val="Aptos Narrow"/>
            <family val="2"/>
            <scheme val="minor"/>
          </rPr>
          <t>Introduzca la fecha de inicio del proceso, en formato dd-mm-aaaa</t>
        </r>
      </text>
    </comment>
    <comment ref="F437" authorId="1" shapeId="0" xr:uid="{8B1DD171-62B3-4EC7-B82D-71C5FDFA208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8" authorId="1" shapeId="0" xr:uid="{D47A9EFE-3C10-488C-A83E-F747D6622204}">
      <text/>
    </comment>
    <comment ref="C439" authorId="1" shapeId="0" xr:uid="{675EA5F5-BFD7-499A-BC70-241281950EE4}">
      <text>
        <r>
          <rPr>
            <sz val="11"/>
            <color theme="1"/>
            <rFont val="Aptos Narrow"/>
            <family val="2"/>
            <scheme val="minor"/>
          </rPr>
          <t>Introduzca la fecha prevista de adjudicación, en formato dd-mm-aaaa</t>
        </r>
      </text>
    </comment>
    <comment ref="F439" authorId="1" shapeId="0" xr:uid="{A0489E72-6665-43EF-8467-06FE99382EE8}">
      <text/>
    </comment>
    <comment ref="F440" authorId="1" shapeId="0" xr:uid="{9B571CBC-3715-4F53-B12F-D76A3041AECD}">
      <text/>
    </comment>
    <comment ref="A442" authorId="1" shapeId="0" xr:uid="{D6A6BF30-6E6C-4DF4-8A9B-74E48CEC222C}">
      <text>
        <r>
          <rPr>
            <sz val="11"/>
            <color theme="1"/>
            <rFont val="Aptos Narrow"/>
            <family val="2"/>
            <scheme val="minor"/>
          </rPr>
          <t>Introduzca un codigo UNSPSC</t>
        </r>
      </text>
    </comment>
    <comment ref="B442" authorId="1" shapeId="0" xr:uid="{07A5D813-4187-4620-A591-B0FD8D00A2F7}">
      <text>
        <r>
          <rPr>
            <sz val="11"/>
            <color theme="1"/>
            <rFont val="Aptos Narrow"/>
            <family val="2"/>
            <scheme val="minor"/>
          </rPr>
          <t>Descripción calculada automáticamente a partir de código del artículo</t>
        </r>
      </text>
    </comment>
    <comment ref="C442" authorId="1" shapeId="0" xr:uid="{8B22C525-E2DE-495B-8D44-F142BE962E0A}">
      <text>
        <r>
          <rPr>
            <sz val="11"/>
            <color theme="1"/>
            <rFont val="Aptos Narrow"/>
            <family val="2"/>
            <scheme val="minor"/>
          </rPr>
          <t>Seleccione un valor de la lista</t>
        </r>
      </text>
    </comment>
    <comment ref="D442" authorId="1" shapeId="0" xr:uid="{78455027-0B55-4262-A666-AE8B3DC216D3}">
      <text>
        <r>
          <rPr>
            <sz val="11"/>
            <color theme="1"/>
            <rFont val="Aptos Narrow"/>
            <family val="2"/>
            <scheme val="minor"/>
          </rPr>
          <t>Introduzca un número con dos decimales como máximo. Debe ser igual o mayor a la "Cantidad Real Consumida"</t>
        </r>
      </text>
    </comment>
    <comment ref="E442" authorId="1" shapeId="0" xr:uid="{F01640C0-D55A-48EE-B663-302E0630CECA}">
      <text>
        <r>
          <rPr>
            <sz val="11"/>
            <color theme="1"/>
            <rFont val="Aptos Narrow"/>
            <family val="2"/>
            <scheme val="minor"/>
          </rPr>
          <t>Introduzca un número con dos decimales como máximo</t>
        </r>
      </text>
    </comment>
    <comment ref="F442" authorId="1" shapeId="0" xr:uid="{9878E1A8-D194-480A-8945-EFAB4DD25A06}">
      <text>
        <r>
          <rPr>
            <sz val="11"/>
            <color theme="1"/>
            <rFont val="Aptos Narrow"/>
            <family val="2"/>
            <scheme val="minor"/>
          </rPr>
          <t>Monto calculado automáticamente por el sistema</t>
        </r>
      </text>
    </comment>
    <comment ref="A447" authorId="1" shapeId="0" xr:uid="{BD2B0A8E-57F3-48D2-B5B4-47782F6DDE7E}">
      <text>
        <r>
          <rPr>
            <sz val="11"/>
            <color theme="1"/>
            <rFont val="Aptos Narrow"/>
            <family val="2"/>
            <scheme val="minor"/>
          </rPr>
          <t>Introducir un texto con el nombre o referencia de la contratación</t>
        </r>
      </text>
    </comment>
    <comment ref="B447" authorId="1" shapeId="0" xr:uid="{67B46D41-D8DB-4207-8577-E287B71C384D}">
      <text>
        <r>
          <rPr>
            <sz val="11"/>
            <color theme="1"/>
            <rFont val="Aptos Narrow"/>
            <family val="2"/>
            <scheme val="minor"/>
          </rPr>
          <t>Introduzca un texto con la finalidad de la contratación</t>
        </r>
      </text>
    </comment>
    <comment ref="C447" authorId="1" shapeId="0" xr:uid="{14DAF7D7-2A64-493D-94BB-9D2C775F815A}">
      <text>
        <r>
          <rPr>
            <sz val="11"/>
            <color theme="1"/>
            <rFont val="Aptos Narrow"/>
            <family val="2"/>
            <scheme val="minor"/>
          </rPr>
          <t>Seleccionar un valor del listado</t>
        </r>
      </text>
    </comment>
    <comment ref="D447" authorId="1" shapeId="0" xr:uid="{F5EF33B7-9085-4113-A686-59A2ABC12895}">
      <text>
        <r>
          <rPr>
            <sz val="11"/>
            <color theme="1"/>
            <rFont val="Aptos Narrow"/>
            <family val="2"/>
            <scheme val="minor"/>
          </rPr>
          <t>Seleccione el tipo de procedimiento</t>
        </r>
      </text>
    </comment>
    <comment ref="E447" authorId="1" shapeId="0" xr:uid="{83A18424-2A4F-49D7-ABBE-4460D5D720D3}">
      <text>
        <r>
          <rPr>
            <sz val="11"/>
            <color theme="1"/>
            <rFont val="Aptos Narrow"/>
            <family val="2"/>
            <scheme val="minor"/>
          </rPr>
          <t>Seleccione un valor de la lista</t>
        </r>
      </text>
    </comment>
    <comment ref="F447" authorId="1" shapeId="0" xr:uid="{262CE4CF-2996-44CE-A417-E1DC10351C16}">
      <text>
        <r>
          <rPr>
            <sz val="11"/>
            <color theme="1"/>
            <rFont val="Aptos Narrow"/>
            <family val="2"/>
            <scheme val="minor"/>
          </rPr>
          <t>Introduzca el código SNIP</t>
        </r>
      </text>
    </comment>
    <comment ref="C448" authorId="1" shapeId="0" xr:uid="{203F9ECA-2DE0-46BC-81B4-039D866527B6}">
      <text>
        <r>
          <rPr>
            <sz val="11"/>
            <color theme="1"/>
            <rFont val="Aptos Narrow"/>
            <family val="2"/>
            <scheme val="minor"/>
          </rPr>
          <t>Introduzca la fecha de inicio del proceso, en formato dd-mm-aaaa</t>
        </r>
      </text>
    </comment>
    <comment ref="F448" authorId="1" shapeId="0" xr:uid="{BFFB66D0-4F6B-4AF3-8F07-436F75B0283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49" authorId="1" shapeId="0" xr:uid="{C85955C0-D1C2-4CAE-B1D4-6D9E38119723}">
      <text/>
    </comment>
    <comment ref="C450" authorId="1" shapeId="0" xr:uid="{DF66D8CA-CBA1-408B-8434-28AE1C5B61BF}">
      <text>
        <r>
          <rPr>
            <sz val="11"/>
            <color theme="1"/>
            <rFont val="Aptos Narrow"/>
            <family val="2"/>
            <scheme val="minor"/>
          </rPr>
          <t>Introduzca la fecha prevista de adjudicación, en formato dd-mm-aaaa</t>
        </r>
      </text>
    </comment>
    <comment ref="F450" authorId="1" shapeId="0" xr:uid="{5A37273B-CECB-4CD5-ACA6-F77736943FEB}">
      <text/>
    </comment>
    <comment ref="F451" authorId="1" shapeId="0" xr:uid="{162BEEC7-1CBF-4829-90B5-BE799B24A01B}">
      <text/>
    </comment>
    <comment ref="A453" authorId="1" shapeId="0" xr:uid="{7551F78A-9FEC-4CA6-BF8D-2544FA4150D1}">
      <text>
        <r>
          <rPr>
            <sz val="11"/>
            <color theme="1"/>
            <rFont val="Aptos Narrow"/>
            <family val="2"/>
            <scheme val="minor"/>
          </rPr>
          <t>Introduzca un codigo UNSPSC</t>
        </r>
      </text>
    </comment>
    <comment ref="B453" authorId="1" shapeId="0" xr:uid="{E5B6B478-6331-46FC-9163-4E2268E4F24B}">
      <text>
        <r>
          <rPr>
            <sz val="11"/>
            <color theme="1"/>
            <rFont val="Aptos Narrow"/>
            <family val="2"/>
            <scheme val="minor"/>
          </rPr>
          <t>Descripción calculada automáticamente a partir de código del artículo</t>
        </r>
      </text>
    </comment>
    <comment ref="C453" authorId="1" shapeId="0" xr:uid="{EB769AFE-C2D8-4B7C-87FE-E433FE8EEE7C}">
      <text>
        <r>
          <rPr>
            <sz val="11"/>
            <color theme="1"/>
            <rFont val="Aptos Narrow"/>
            <family val="2"/>
            <scheme val="minor"/>
          </rPr>
          <t>Seleccione un valor de la lista</t>
        </r>
      </text>
    </comment>
    <comment ref="D453" authorId="1" shapeId="0" xr:uid="{0D436F0E-A0D1-458D-9EE0-272168877508}">
      <text>
        <r>
          <rPr>
            <sz val="11"/>
            <color theme="1"/>
            <rFont val="Aptos Narrow"/>
            <family val="2"/>
            <scheme val="minor"/>
          </rPr>
          <t>Introduzca un número con dos decimales como máximo. Debe ser igual o mayor a la "Cantidad Real Consumida"</t>
        </r>
      </text>
    </comment>
    <comment ref="E453" authorId="1" shapeId="0" xr:uid="{819F5DB8-33FD-4637-8243-0BC5154D322C}">
      <text>
        <r>
          <rPr>
            <sz val="11"/>
            <color theme="1"/>
            <rFont val="Aptos Narrow"/>
            <family val="2"/>
            <scheme val="minor"/>
          </rPr>
          <t>Introduzca un número con dos decimales como máximo</t>
        </r>
      </text>
    </comment>
    <comment ref="F453" authorId="1" shapeId="0" xr:uid="{F591F327-F29E-4C3A-8EF4-36BB9B476856}">
      <text>
        <r>
          <rPr>
            <sz val="11"/>
            <color theme="1"/>
            <rFont val="Aptos Narrow"/>
            <family val="2"/>
            <scheme val="minor"/>
          </rPr>
          <t>Monto calculado automáticamente por el sistema</t>
        </r>
      </text>
    </comment>
    <comment ref="A459" authorId="1" shapeId="0" xr:uid="{DF15567C-0F47-4FDC-A6A6-581545EE7A85}">
      <text>
        <r>
          <rPr>
            <sz val="11"/>
            <color theme="1"/>
            <rFont val="Aptos Narrow"/>
            <family val="2"/>
            <scheme val="minor"/>
          </rPr>
          <t>Introducir un texto con el nombre o referencia de la contratación</t>
        </r>
      </text>
    </comment>
    <comment ref="B459" authorId="1" shapeId="0" xr:uid="{D20A3BB4-77AD-4E17-BC2A-03BEA52E5E02}">
      <text>
        <r>
          <rPr>
            <sz val="11"/>
            <color theme="1"/>
            <rFont val="Aptos Narrow"/>
            <family val="2"/>
            <scheme val="minor"/>
          </rPr>
          <t>Introduzca un texto con la finalidad de la contratación</t>
        </r>
      </text>
    </comment>
    <comment ref="C459" authorId="1" shapeId="0" xr:uid="{A9DCC211-FD02-4CBD-8967-4968B7895AA4}">
      <text>
        <r>
          <rPr>
            <sz val="11"/>
            <color theme="1"/>
            <rFont val="Aptos Narrow"/>
            <family val="2"/>
            <scheme val="minor"/>
          </rPr>
          <t>Seleccionar un valor del listado</t>
        </r>
      </text>
    </comment>
    <comment ref="D459" authorId="1" shapeId="0" xr:uid="{A20250E5-E75D-4195-A405-BF5C3DA309C9}">
      <text>
        <r>
          <rPr>
            <sz val="11"/>
            <color theme="1"/>
            <rFont val="Aptos Narrow"/>
            <family val="2"/>
            <scheme val="minor"/>
          </rPr>
          <t>Seleccione el tipo de procedimiento</t>
        </r>
      </text>
    </comment>
    <comment ref="E459" authorId="1" shapeId="0" xr:uid="{5E43ED04-5BF5-42EF-9386-3603F9C76CB7}">
      <text>
        <r>
          <rPr>
            <sz val="11"/>
            <color theme="1"/>
            <rFont val="Aptos Narrow"/>
            <family val="2"/>
            <scheme val="minor"/>
          </rPr>
          <t>Seleccione un valor de la lista</t>
        </r>
      </text>
    </comment>
    <comment ref="F459" authorId="1" shapeId="0" xr:uid="{08D028F7-15A2-49EA-B754-A790F157AD8A}">
      <text>
        <r>
          <rPr>
            <sz val="11"/>
            <color theme="1"/>
            <rFont val="Aptos Narrow"/>
            <family val="2"/>
            <scheme val="minor"/>
          </rPr>
          <t>Introduzca el código SNIP</t>
        </r>
      </text>
    </comment>
    <comment ref="C460" authorId="1" shapeId="0" xr:uid="{352497FB-31FB-4EAF-8ACE-00C680572D27}">
      <text>
        <r>
          <rPr>
            <sz val="11"/>
            <color theme="1"/>
            <rFont val="Aptos Narrow"/>
            <family val="2"/>
            <scheme val="minor"/>
          </rPr>
          <t>Introduzca la fecha de inicio del proceso, en formato dd-mm-aaaa</t>
        </r>
      </text>
    </comment>
    <comment ref="F460" authorId="1" shapeId="0" xr:uid="{753022F2-A09B-46D7-9C3B-10C5A9FE29C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1" authorId="1" shapeId="0" xr:uid="{DBF9D47B-9E1C-43D6-B6D5-9D7601579223}">
      <text/>
    </comment>
    <comment ref="C462" authorId="1" shapeId="0" xr:uid="{3C6552AB-D60F-4BD1-A96D-4718090BEAB1}">
      <text>
        <r>
          <rPr>
            <sz val="11"/>
            <color theme="1"/>
            <rFont val="Aptos Narrow"/>
            <family val="2"/>
            <scheme val="minor"/>
          </rPr>
          <t>Introduzca la fecha prevista de adjudicación, en formato dd-mm-aaaa</t>
        </r>
      </text>
    </comment>
    <comment ref="F462" authorId="1" shapeId="0" xr:uid="{9380F3FB-1EEF-43EA-BB6F-D46F60EB13FC}">
      <text/>
    </comment>
    <comment ref="F463" authorId="1" shapeId="0" xr:uid="{B267D551-0B74-44E3-A29C-E692F6B6527F}">
      <text/>
    </comment>
    <comment ref="A465" authorId="1" shapeId="0" xr:uid="{CF064808-4E52-4D41-96B6-9973F14114A4}">
      <text>
        <r>
          <rPr>
            <sz val="11"/>
            <color theme="1"/>
            <rFont val="Aptos Narrow"/>
            <family val="2"/>
            <scheme val="minor"/>
          </rPr>
          <t>Introduzca un codigo UNSPSC</t>
        </r>
      </text>
    </comment>
    <comment ref="B465" authorId="1" shapeId="0" xr:uid="{CEB3FDAA-457A-404C-9800-163FA5E9081F}">
      <text>
        <r>
          <rPr>
            <sz val="11"/>
            <color theme="1"/>
            <rFont val="Aptos Narrow"/>
            <family val="2"/>
            <scheme val="minor"/>
          </rPr>
          <t>Descripción calculada automáticamente a partir de código del artículo</t>
        </r>
      </text>
    </comment>
    <comment ref="C465" authorId="1" shapeId="0" xr:uid="{3A0A03AD-A2B9-4ABE-AD76-B4905858AD12}">
      <text>
        <r>
          <rPr>
            <sz val="11"/>
            <color theme="1"/>
            <rFont val="Aptos Narrow"/>
            <family val="2"/>
            <scheme val="minor"/>
          </rPr>
          <t>Seleccione un valor de la lista</t>
        </r>
      </text>
    </comment>
    <comment ref="D465" authorId="1" shapeId="0" xr:uid="{280D0542-190C-4DFB-B547-A61E7FEE057D}">
      <text>
        <r>
          <rPr>
            <sz val="11"/>
            <color theme="1"/>
            <rFont val="Aptos Narrow"/>
            <family val="2"/>
            <scheme val="minor"/>
          </rPr>
          <t>Introduzca un número con dos decimales como máximo. Debe ser igual o mayor a la "Cantidad Real Consumida"</t>
        </r>
      </text>
    </comment>
    <comment ref="E465" authorId="1" shapeId="0" xr:uid="{EBE081F5-C8A1-4C18-A66B-D8085DC89187}">
      <text>
        <r>
          <rPr>
            <sz val="11"/>
            <color theme="1"/>
            <rFont val="Aptos Narrow"/>
            <family val="2"/>
            <scheme val="minor"/>
          </rPr>
          <t>Introduzca un número con dos decimales como máximo</t>
        </r>
      </text>
    </comment>
    <comment ref="F465" authorId="1" shapeId="0" xr:uid="{92102C10-F738-47FB-A1AD-C79DF579C85E}">
      <text>
        <r>
          <rPr>
            <sz val="11"/>
            <color theme="1"/>
            <rFont val="Aptos Narrow"/>
            <family val="2"/>
            <scheme val="minor"/>
          </rPr>
          <t>Monto calculado automáticamente por el sistema</t>
        </r>
      </text>
    </comment>
    <comment ref="A470" authorId="1" shapeId="0" xr:uid="{14ADAEF7-37B9-473B-9BA7-6FA987B96BF2}">
      <text>
        <r>
          <rPr>
            <sz val="11"/>
            <color theme="1"/>
            <rFont val="Aptos Narrow"/>
            <family val="2"/>
            <scheme val="minor"/>
          </rPr>
          <t>Introducir un texto con el nombre o referencia de la contratación</t>
        </r>
      </text>
    </comment>
    <comment ref="B470" authorId="1" shapeId="0" xr:uid="{F78979BE-1049-4D2F-9104-37395572E5E4}">
      <text>
        <r>
          <rPr>
            <sz val="11"/>
            <color theme="1"/>
            <rFont val="Aptos Narrow"/>
            <family val="2"/>
            <scheme val="minor"/>
          </rPr>
          <t>Introduzca un texto con la finalidad de la contratación</t>
        </r>
      </text>
    </comment>
    <comment ref="C470" authorId="1" shapeId="0" xr:uid="{F0CFBB6D-3173-4E1D-8021-4A0FB8212976}">
      <text>
        <r>
          <rPr>
            <sz val="11"/>
            <color theme="1"/>
            <rFont val="Aptos Narrow"/>
            <family val="2"/>
            <scheme val="minor"/>
          </rPr>
          <t>Seleccionar un valor del listado</t>
        </r>
      </text>
    </comment>
    <comment ref="D470" authorId="1" shapeId="0" xr:uid="{E5D17781-74AB-4D94-B85C-8BE8727F96D3}">
      <text>
        <r>
          <rPr>
            <sz val="11"/>
            <color theme="1"/>
            <rFont val="Aptos Narrow"/>
            <family val="2"/>
            <scheme val="minor"/>
          </rPr>
          <t>Seleccione el tipo de procedimiento</t>
        </r>
      </text>
    </comment>
    <comment ref="E470" authorId="1" shapeId="0" xr:uid="{DAEBD817-3B3A-404A-97C8-27AEDC9B8DD2}">
      <text>
        <r>
          <rPr>
            <sz val="11"/>
            <color theme="1"/>
            <rFont val="Aptos Narrow"/>
            <family val="2"/>
            <scheme val="minor"/>
          </rPr>
          <t>Seleccione un valor de la lista</t>
        </r>
      </text>
    </comment>
    <comment ref="F470" authorId="1" shapeId="0" xr:uid="{0F866B1E-6FBB-4C71-BC4A-70BF39FABA12}">
      <text>
        <r>
          <rPr>
            <sz val="11"/>
            <color theme="1"/>
            <rFont val="Aptos Narrow"/>
            <family val="2"/>
            <scheme val="minor"/>
          </rPr>
          <t>Introduzca el código SNIP</t>
        </r>
      </text>
    </comment>
    <comment ref="C471" authorId="1" shapeId="0" xr:uid="{74274AE4-314C-4107-B9C2-0129F6A4235A}">
      <text>
        <r>
          <rPr>
            <sz val="11"/>
            <color theme="1"/>
            <rFont val="Aptos Narrow"/>
            <family val="2"/>
            <scheme val="minor"/>
          </rPr>
          <t>Introduzca la fecha de inicio del proceso, en formato dd-mm-aaaa</t>
        </r>
      </text>
    </comment>
    <comment ref="F471" authorId="1" shapeId="0" xr:uid="{5D85C84F-384D-4B11-BF3E-A18B4D1E2D8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2" authorId="1" shapeId="0" xr:uid="{7F0E285F-27FE-4DCE-A9BF-77B7AB2B9C83}">
      <text/>
    </comment>
    <comment ref="C473" authorId="1" shapeId="0" xr:uid="{A5CD36FC-B12A-4658-80A6-BCB9DC21E711}">
      <text>
        <r>
          <rPr>
            <sz val="11"/>
            <color theme="1"/>
            <rFont val="Aptos Narrow"/>
            <family val="2"/>
            <scheme val="minor"/>
          </rPr>
          <t>Introduzca la fecha prevista de adjudicación, en formato dd-mm-aaaa</t>
        </r>
      </text>
    </comment>
    <comment ref="F473" authorId="1" shapeId="0" xr:uid="{D55763B9-8A12-478C-A623-C50E1963D164}">
      <text/>
    </comment>
    <comment ref="F474" authorId="1" shapeId="0" xr:uid="{0A206299-1453-4CB5-B2DB-52097DCE74D9}">
      <text/>
    </comment>
    <comment ref="A476" authorId="1" shapeId="0" xr:uid="{7254A4C8-4C8F-48AF-A059-CE26A99BE10E}">
      <text>
        <r>
          <rPr>
            <sz val="11"/>
            <color theme="1"/>
            <rFont val="Aptos Narrow"/>
            <family val="2"/>
            <scheme val="minor"/>
          </rPr>
          <t>Introduzca un codigo UNSPSC</t>
        </r>
      </text>
    </comment>
    <comment ref="B476" authorId="1" shapeId="0" xr:uid="{7EBC4CEE-82FC-4FE3-B2B4-556019F67FF2}">
      <text>
        <r>
          <rPr>
            <sz val="11"/>
            <color theme="1"/>
            <rFont val="Aptos Narrow"/>
            <family val="2"/>
            <scheme val="minor"/>
          </rPr>
          <t>Descripción calculada automáticamente a partir de código del artículo</t>
        </r>
      </text>
    </comment>
    <comment ref="C476" authorId="1" shapeId="0" xr:uid="{7AF34C08-B4CC-4CEB-9F79-AA21E2CE5783}">
      <text>
        <r>
          <rPr>
            <sz val="11"/>
            <color theme="1"/>
            <rFont val="Aptos Narrow"/>
            <family val="2"/>
            <scheme val="minor"/>
          </rPr>
          <t>Seleccione un valor de la lista</t>
        </r>
      </text>
    </comment>
    <comment ref="D476" authorId="1" shapeId="0" xr:uid="{7E5B97B8-E780-4B16-9399-9C2E88384D5C}">
      <text>
        <r>
          <rPr>
            <sz val="11"/>
            <color theme="1"/>
            <rFont val="Aptos Narrow"/>
            <family val="2"/>
            <scheme val="minor"/>
          </rPr>
          <t>Introduzca un número con dos decimales como máximo. Debe ser igual o mayor a la "Cantidad Real Consumida"</t>
        </r>
      </text>
    </comment>
    <comment ref="E476" authorId="1" shapeId="0" xr:uid="{4615A742-6D98-4C09-AAFF-C161A9166112}">
      <text>
        <r>
          <rPr>
            <sz val="11"/>
            <color theme="1"/>
            <rFont val="Aptos Narrow"/>
            <family val="2"/>
            <scheme val="minor"/>
          </rPr>
          <t>Introduzca un número con dos decimales como máximo</t>
        </r>
      </text>
    </comment>
    <comment ref="F476" authorId="1" shapeId="0" xr:uid="{5C6CCE78-27A9-4CF3-8D41-E0A28E49E665}">
      <text>
        <r>
          <rPr>
            <sz val="11"/>
            <color theme="1"/>
            <rFont val="Aptos Narrow"/>
            <family val="2"/>
            <scheme val="minor"/>
          </rPr>
          <t>Monto calculado automáticamente por el sistema</t>
        </r>
      </text>
    </comment>
    <comment ref="A481" authorId="1" shapeId="0" xr:uid="{8DD09872-A1CB-4526-A1A1-4316BC62C38B}">
      <text>
        <r>
          <rPr>
            <sz val="11"/>
            <color theme="1"/>
            <rFont val="Aptos Narrow"/>
            <family val="2"/>
            <scheme val="minor"/>
          </rPr>
          <t>Introducir un texto con el nombre o referencia de la contratación</t>
        </r>
      </text>
    </comment>
    <comment ref="B481" authorId="1" shapeId="0" xr:uid="{500FB3E5-A043-4563-9FFC-BEA9C0F639A5}">
      <text>
        <r>
          <rPr>
            <sz val="11"/>
            <color theme="1"/>
            <rFont val="Aptos Narrow"/>
            <family val="2"/>
            <scheme val="minor"/>
          </rPr>
          <t>Introduzca un texto con la finalidad de la contratación</t>
        </r>
      </text>
    </comment>
    <comment ref="C481" authorId="1" shapeId="0" xr:uid="{F92DFFA6-439D-4DF2-99CE-F8E915C3266C}">
      <text>
        <r>
          <rPr>
            <sz val="11"/>
            <color theme="1"/>
            <rFont val="Aptos Narrow"/>
            <family val="2"/>
            <scheme val="minor"/>
          </rPr>
          <t>Seleccionar un valor del listado</t>
        </r>
      </text>
    </comment>
    <comment ref="D481" authorId="1" shapeId="0" xr:uid="{9D8C48EA-6F74-4045-BE36-300C553385D2}">
      <text>
        <r>
          <rPr>
            <sz val="11"/>
            <color theme="1"/>
            <rFont val="Aptos Narrow"/>
            <family val="2"/>
            <scheme val="minor"/>
          </rPr>
          <t>Seleccione el tipo de procedimiento</t>
        </r>
      </text>
    </comment>
    <comment ref="E481" authorId="1" shapeId="0" xr:uid="{D1DC2E4F-1E6D-4A1B-A4ED-578FFF1B2652}">
      <text>
        <r>
          <rPr>
            <sz val="11"/>
            <color theme="1"/>
            <rFont val="Aptos Narrow"/>
            <family val="2"/>
            <scheme val="minor"/>
          </rPr>
          <t>Seleccione un valor de la lista</t>
        </r>
      </text>
    </comment>
    <comment ref="F481" authorId="1" shapeId="0" xr:uid="{AED2C17B-65ED-4824-BECB-9098083E23E3}">
      <text>
        <r>
          <rPr>
            <sz val="11"/>
            <color theme="1"/>
            <rFont val="Aptos Narrow"/>
            <family val="2"/>
            <scheme val="minor"/>
          </rPr>
          <t>Introduzca el código SNIP</t>
        </r>
      </text>
    </comment>
    <comment ref="C482" authorId="1" shapeId="0" xr:uid="{97581219-210B-46B3-ADD2-85353A7CCA4E}">
      <text>
        <r>
          <rPr>
            <sz val="11"/>
            <color theme="1"/>
            <rFont val="Aptos Narrow"/>
            <family val="2"/>
            <scheme val="minor"/>
          </rPr>
          <t>Introduzca la fecha de inicio del proceso, en formato dd-mm-aaaa</t>
        </r>
      </text>
    </comment>
    <comment ref="F482" authorId="1" shapeId="0" xr:uid="{E4D93CA9-DA44-4729-AABF-CCA326D58AD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3" authorId="1" shapeId="0" xr:uid="{DF79233D-C626-4482-BC1A-0BFB698893C3}">
      <text/>
    </comment>
    <comment ref="C484" authorId="1" shapeId="0" xr:uid="{801A225D-8831-4617-B24A-30A5FE2DE45D}">
      <text>
        <r>
          <rPr>
            <sz val="11"/>
            <color theme="1"/>
            <rFont val="Aptos Narrow"/>
            <family val="2"/>
            <scheme val="minor"/>
          </rPr>
          <t>Introduzca la fecha prevista de adjudicación, en formato dd-mm-aaaa</t>
        </r>
      </text>
    </comment>
    <comment ref="F484" authorId="1" shapeId="0" xr:uid="{3C021B87-7E41-414D-BFC1-525AF0F87C0F}">
      <text/>
    </comment>
    <comment ref="F485" authorId="1" shapeId="0" xr:uid="{D308C5D2-BCE9-4A9F-AFA0-7B76E14C5BCF}">
      <text/>
    </comment>
    <comment ref="A487" authorId="1" shapeId="0" xr:uid="{8633F588-2904-4297-B848-FD3FF19FE3DA}">
      <text>
        <r>
          <rPr>
            <sz val="11"/>
            <color theme="1"/>
            <rFont val="Aptos Narrow"/>
            <family val="2"/>
            <scheme val="minor"/>
          </rPr>
          <t>Introduzca un codigo UNSPSC</t>
        </r>
      </text>
    </comment>
    <comment ref="B487" authorId="1" shapeId="0" xr:uid="{3231193C-5B70-459D-87E0-6F5DB4010DEB}">
      <text>
        <r>
          <rPr>
            <sz val="11"/>
            <color theme="1"/>
            <rFont val="Aptos Narrow"/>
            <family val="2"/>
            <scheme val="minor"/>
          </rPr>
          <t>Descripción calculada automáticamente a partir de código del artículo</t>
        </r>
      </text>
    </comment>
    <comment ref="C487" authorId="1" shapeId="0" xr:uid="{7E32CEB0-EF3A-410B-ABEB-DCFD17BDA061}">
      <text>
        <r>
          <rPr>
            <sz val="11"/>
            <color theme="1"/>
            <rFont val="Aptos Narrow"/>
            <family val="2"/>
            <scheme val="minor"/>
          </rPr>
          <t>Seleccione un valor de la lista</t>
        </r>
      </text>
    </comment>
    <comment ref="D487" authorId="1" shapeId="0" xr:uid="{AE258F06-AC98-49FA-BB5F-75D9B3EBC995}">
      <text>
        <r>
          <rPr>
            <sz val="11"/>
            <color theme="1"/>
            <rFont val="Aptos Narrow"/>
            <family val="2"/>
            <scheme val="minor"/>
          </rPr>
          <t>Introduzca un número con dos decimales como máximo. Debe ser igual o mayor a la "Cantidad Real Consumida"</t>
        </r>
      </text>
    </comment>
    <comment ref="E487" authorId="1" shapeId="0" xr:uid="{D3CBAFB8-4B9B-4490-AF51-35DC3C9F2697}">
      <text>
        <r>
          <rPr>
            <sz val="11"/>
            <color theme="1"/>
            <rFont val="Aptos Narrow"/>
            <family val="2"/>
            <scheme val="minor"/>
          </rPr>
          <t>Introduzca un número con dos decimales como máximo</t>
        </r>
      </text>
    </comment>
    <comment ref="F487" authorId="1" shapeId="0" xr:uid="{2C3AAB16-4DFA-44AD-99EE-B60D2D631BB3}">
      <text>
        <r>
          <rPr>
            <sz val="11"/>
            <color theme="1"/>
            <rFont val="Aptos Narrow"/>
            <family val="2"/>
            <scheme val="minor"/>
          </rPr>
          <t>Monto calculado automáticamente por el sistema</t>
        </r>
      </text>
    </comment>
    <comment ref="A492" authorId="1" shapeId="0" xr:uid="{6543524A-52C3-4BDE-9727-94E32F6099DE}">
      <text>
        <r>
          <rPr>
            <sz val="11"/>
            <color theme="1"/>
            <rFont val="Aptos Narrow"/>
            <family val="2"/>
            <scheme val="minor"/>
          </rPr>
          <t>Introducir un texto con el nombre o referencia de la contratación</t>
        </r>
      </text>
    </comment>
    <comment ref="B492" authorId="1" shapeId="0" xr:uid="{9A839281-F5C2-4B59-90BC-97DC5198DF25}">
      <text>
        <r>
          <rPr>
            <sz val="11"/>
            <color theme="1"/>
            <rFont val="Aptos Narrow"/>
            <family val="2"/>
            <scheme val="minor"/>
          </rPr>
          <t>Introduzca un texto con la finalidad de la contratación</t>
        </r>
      </text>
    </comment>
    <comment ref="C492" authorId="1" shapeId="0" xr:uid="{2E8A7662-0BEB-4557-89B2-23581FDEA930}">
      <text>
        <r>
          <rPr>
            <sz val="11"/>
            <color theme="1"/>
            <rFont val="Aptos Narrow"/>
            <family val="2"/>
            <scheme val="minor"/>
          </rPr>
          <t>Seleccionar un valor del listado</t>
        </r>
      </text>
    </comment>
    <comment ref="D492" authorId="1" shapeId="0" xr:uid="{ACC3F25F-5F8D-4EE4-9E8E-75649F289A89}">
      <text>
        <r>
          <rPr>
            <sz val="11"/>
            <color theme="1"/>
            <rFont val="Aptos Narrow"/>
            <family val="2"/>
            <scheme val="minor"/>
          </rPr>
          <t>Seleccione el tipo de procedimiento</t>
        </r>
      </text>
    </comment>
    <comment ref="E492" authorId="1" shapeId="0" xr:uid="{02503539-3E25-4489-95B8-971E659F3E33}">
      <text>
        <r>
          <rPr>
            <sz val="11"/>
            <color theme="1"/>
            <rFont val="Aptos Narrow"/>
            <family val="2"/>
            <scheme val="minor"/>
          </rPr>
          <t>Seleccione un valor de la lista</t>
        </r>
      </text>
    </comment>
    <comment ref="F492" authorId="1" shapeId="0" xr:uid="{C1791E63-40F6-4ACE-B18B-C9C672BEED50}">
      <text>
        <r>
          <rPr>
            <sz val="11"/>
            <color theme="1"/>
            <rFont val="Aptos Narrow"/>
            <family val="2"/>
            <scheme val="minor"/>
          </rPr>
          <t>Introduzca el código SNIP</t>
        </r>
      </text>
    </comment>
    <comment ref="C493" authorId="1" shapeId="0" xr:uid="{BD3387BF-6AE0-4314-88AB-B96BF5D6EFE0}">
      <text>
        <r>
          <rPr>
            <sz val="11"/>
            <color theme="1"/>
            <rFont val="Aptos Narrow"/>
            <family val="2"/>
            <scheme val="minor"/>
          </rPr>
          <t>Introduzca la fecha de inicio del proceso, en formato dd-mm-aaaa</t>
        </r>
      </text>
    </comment>
    <comment ref="F493" authorId="1" shapeId="0" xr:uid="{A7DF8C18-AAFF-4B35-90AE-5D6186B4996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94" authorId="1" shapeId="0" xr:uid="{5CF402D6-7412-423B-9CBB-A3AD748BA105}">
      <text/>
    </comment>
    <comment ref="C495" authorId="1" shapeId="0" xr:uid="{FA7D9FF7-336A-4124-A67E-F5607DAF2863}">
      <text>
        <r>
          <rPr>
            <sz val="11"/>
            <color theme="1"/>
            <rFont val="Aptos Narrow"/>
            <family val="2"/>
            <scheme val="minor"/>
          </rPr>
          <t>Introduzca la fecha prevista de adjudicación, en formato dd-mm-aaaa</t>
        </r>
      </text>
    </comment>
    <comment ref="F495" authorId="1" shapeId="0" xr:uid="{265034FB-60EF-49A9-8D7F-9051AADFA77B}">
      <text/>
    </comment>
    <comment ref="F496" authorId="1" shapeId="0" xr:uid="{67311C51-A9E0-4AD3-B24A-020ED1F24B67}">
      <text/>
    </comment>
    <comment ref="A498" authorId="1" shapeId="0" xr:uid="{158FA40C-227A-4E7A-B74D-D8D2B893CC66}">
      <text>
        <r>
          <rPr>
            <sz val="11"/>
            <color theme="1"/>
            <rFont val="Aptos Narrow"/>
            <family val="2"/>
            <scheme val="minor"/>
          </rPr>
          <t>Introduzca un codigo UNSPSC</t>
        </r>
      </text>
    </comment>
    <comment ref="B498" authorId="1" shapeId="0" xr:uid="{CC7973BC-D07F-465D-9FF6-4CE14D282320}">
      <text>
        <r>
          <rPr>
            <sz val="11"/>
            <color theme="1"/>
            <rFont val="Aptos Narrow"/>
            <family val="2"/>
            <scheme val="minor"/>
          </rPr>
          <t>Descripción calculada automáticamente a partir de código del artículo</t>
        </r>
      </text>
    </comment>
    <comment ref="C498" authorId="1" shapeId="0" xr:uid="{0B4CF69B-07CC-4A12-8E48-869A78F6EC90}">
      <text>
        <r>
          <rPr>
            <sz val="11"/>
            <color theme="1"/>
            <rFont val="Aptos Narrow"/>
            <family val="2"/>
            <scheme val="minor"/>
          </rPr>
          <t>Seleccione un valor de la lista</t>
        </r>
      </text>
    </comment>
    <comment ref="D498" authorId="1" shapeId="0" xr:uid="{1467D478-3C83-44E0-928A-3CDCBCCAD96C}">
      <text>
        <r>
          <rPr>
            <sz val="11"/>
            <color theme="1"/>
            <rFont val="Aptos Narrow"/>
            <family val="2"/>
            <scheme val="minor"/>
          </rPr>
          <t>Introduzca un número con dos decimales como máximo. Debe ser igual o mayor a la "Cantidad Real Consumida"</t>
        </r>
      </text>
    </comment>
    <comment ref="E498" authorId="1" shapeId="0" xr:uid="{4BCA7041-A609-45D2-8CA6-FA48F1DF9FDE}">
      <text>
        <r>
          <rPr>
            <sz val="11"/>
            <color theme="1"/>
            <rFont val="Aptos Narrow"/>
            <family val="2"/>
            <scheme val="minor"/>
          </rPr>
          <t>Introduzca un número con dos decimales como máximo</t>
        </r>
      </text>
    </comment>
    <comment ref="F498" authorId="1" shapeId="0" xr:uid="{7AEB745A-6EE1-42D8-975A-427AB64B09EE}">
      <text>
        <r>
          <rPr>
            <sz val="11"/>
            <color theme="1"/>
            <rFont val="Aptos Narrow"/>
            <family val="2"/>
            <scheme val="minor"/>
          </rPr>
          <t>Monto calculado automáticamente por el sistema</t>
        </r>
      </text>
    </comment>
    <comment ref="A503" authorId="1" shapeId="0" xr:uid="{06F24D83-C504-4919-A165-85C9DA991A17}">
      <text>
        <r>
          <rPr>
            <sz val="11"/>
            <color theme="1"/>
            <rFont val="Aptos Narrow"/>
            <family val="2"/>
            <scheme val="minor"/>
          </rPr>
          <t>Introducir un texto con el nombre o referencia de la contratación</t>
        </r>
      </text>
    </comment>
    <comment ref="B503" authorId="1" shapeId="0" xr:uid="{7AE9839D-4ADF-43A0-A238-A4B010D9D79B}">
      <text>
        <r>
          <rPr>
            <sz val="11"/>
            <color theme="1"/>
            <rFont val="Aptos Narrow"/>
            <family val="2"/>
            <scheme val="minor"/>
          </rPr>
          <t>Introduzca un texto con la finalidad de la contratación</t>
        </r>
      </text>
    </comment>
    <comment ref="C503" authorId="1" shapeId="0" xr:uid="{D237D42D-61A5-4644-899C-5E9FD43A0545}">
      <text>
        <r>
          <rPr>
            <sz val="11"/>
            <color theme="1"/>
            <rFont val="Aptos Narrow"/>
            <family val="2"/>
            <scheme val="minor"/>
          </rPr>
          <t>Seleccionar un valor del listado</t>
        </r>
      </text>
    </comment>
    <comment ref="D503" authorId="1" shapeId="0" xr:uid="{481ECF55-9625-42B0-AFFB-FF11DFCBB6B3}">
      <text>
        <r>
          <rPr>
            <sz val="11"/>
            <color theme="1"/>
            <rFont val="Aptos Narrow"/>
            <family val="2"/>
            <scheme val="minor"/>
          </rPr>
          <t>Seleccione el tipo de procedimiento</t>
        </r>
      </text>
    </comment>
    <comment ref="E503" authorId="1" shapeId="0" xr:uid="{FDA377B4-06D9-4093-9439-EFA4D59395AE}">
      <text>
        <r>
          <rPr>
            <sz val="11"/>
            <color theme="1"/>
            <rFont val="Aptos Narrow"/>
            <family val="2"/>
            <scheme val="minor"/>
          </rPr>
          <t>Seleccione un valor de la lista</t>
        </r>
      </text>
    </comment>
    <comment ref="F503" authorId="1" shapeId="0" xr:uid="{38C86CFD-F3D3-4112-8282-710AE2244ECB}">
      <text>
        <r>
          <rPr>
            <sz val="11"/>
            <color theme="1"/>
            <rFont val="Aptos Narrow"/>
            <family val="2"/>
            <scheme val="minor"/>
          </rPr>
          <t>Introduzca el código SNIP</t>
        </r>
      </text>
    </comment>
    <comment ref="C504" authorId="1" shapeId="0" xr:uid="{D7FB036F-2DC7-45ED-B672-A52C65A3345F}">
      <text>
        <r>
          <rPr>
            <sz val="11"/>
            <color theme="1"/>
            <rFont val="Aptos Narrow"/>
            <family val="2"/>
            <scheme val="minor"/>
          </rPr>
          <t>Introduzca la fecha de inicio del proceso, en formato dd-mm-aaaa</t>
        </r>
      </text>
    </comment>
    <comment ref="F504" authorId="1" shapeId="0" xr:uid="{AF76B3A1-FA2A-48BA-9556-2D9159B1B83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05" authorId="1" shapeId="0" xr:uid="{ED06446A-B788-4ADD-8D2B-A0B9101A18BD}">
      <text/>
    </comment>
    <comment ref="C506" authorId="1" shapeId="0" xr:uid="{B0C0846F-1BA3-4580-A8DF-785E80FF6827}">
      <text>
        <r>
          <rPr>
            <sz val="11"/>
            <color theme="1"/>
            <rFont val="Aptos Narrow"/>
            <family val="2"/>
            <scheme val="minor"/>
          </rPr>
          <t>Introduzca la fecha prevista de adjudicación, en formato dd-mm-aaaa</t>
        </r>
      </text>
    </comment>
    <comment ref="F506" authorId="1" shapeId="0" xr:uid="{EEF8D0AE-19D9-4A33-A6C2-A9850B8887A9}">
      <text/>
    </comment>
    <comment ref="F507" authorId="1" shapeId="0" xr:uid="{7E6B98EE-63B2-4EC6-84E1-7DC0941FD72C}">
      <text/>
    </comment>
    <comment ref="A509" authorId="1" shapeId="0" xr:uid="{CFBCAA28-FB9E-47D4-AA02-8B8306DA915B}">
      <text>
        <r>
          <rPr>
            <sz val="11"/>
            <color theme="1"/>
            <rFont val="Aptos Narrow"/>
            <family val="2"/>
            <scheme val="minor"/>
          </rPr>
          <t>Introduzca un codigo UNSPSC</t>
        </r>
      </text>
    </comment>
    <comment ref="B509" authorId="1" shapeId="0" xr:uid="{D81DC23E-95E2-4367-AE80-A030D75A03CD}">
      <text>
        <r>
          <rPr>
            <sz val="11"/>
            <color theme="1"/>
            <rFont val="Aptos Narrow"/>
            <family val="2"/>
            <scheme val="minor"/>
          </rPr>
          <t>Descripción calculada automáticamente a partir de código del artículo</t>
        </r>
      </text>
    </comment>
    <comment ref="C509" authorId="1" shapeId="0" xr:uid="{9E8A0582-A456-4CD2-977D-24CDB1B1DDAF}">
      <text>
        <r>
          <rPr>
            <sz val="11"/>
            <color theme="1"/>
            <rFont val="Aptos Narrow"/>
            <family val="2"/>
            <scheme val="minor"/>
          </rPr>
          <t>Seleccione un valor de la lista</t>
        </r>
      </text>
    </comment>
    <comment ref="D509" authorId="1" shapeId="0" xr:uid="{C774E213-EABD-41E0-AD94-894FC26FF558}">
      <text>
        <r>
          <rPr>
            <sz val="11"/>
            <color theme="1"/>
            <rFont val="Aptos Narrow"/>
            <family val="2"/>
            <scheme val="minor"/>
          </rPr>
          <t>Introduzca un número con dos decimales como máximo. Debe ser igual o mayor a la "Cantidad Real Consumida"</t>
        </r>
      </text>
    </comment>
    <comment ref="E509" authorId="1" shapeId="0" xr:uid="{FBA391F5-9C28-4CD7-9EC2-59CCB57A187F}">
      <text>
        <r>
          <rPr>
            <sz val="11"/>
            <color theme="1"/>
            <rFont val="Aptos Narrow"/>
            <family val="2"/>
            <scheme val="minor"/>
          </rPr>
          <t>Introduzca un número con dos decimales como máximo</t>
        </r>
      </text>
    </comment>
    <comment ref="F509" authorId="1" shapeId="0" xr:uid="{DC25B83F-0121-45C0-9F84-C8DA75B1C585}">
      <text>
        <r>
          <rPr>
            <sz val="11"/>
            <color theme="1"/>
            <rFont val="Aptos Narrow"/>
            <family val="2"/>
            <scheme val="minor"/>
          </rPr>
          <t>Monto calculado automáticamente por el sistema</t>
        </r>
      </text>
    </comment>
    <comment ref="A514" authorId="1" shapeId="0" xr:uid="{B5838233-E40E-4B4D-93AE-D14BEB24D7A4}">
      <text>
        <r>
          <rPr>
            <sz val="11"/>
            <color theme="1"/>
            <rFont val="Aptos Narrow"/>
            <family val="2"/>
            <scheme val="minor"/>
          </rPr>
          <t>Introducir un texto con el nombre o referencia de la contratación</t>
        </r>
      </text>
    </comment>
    <comment ref="B514" authorId="1" shapeId="0" xr:uid="{059FA408-4BF3-458E-8DD0-220A7B2480B1}">
      <text>
        <r>
          <rPr>
            <sz val="11"/>
            <color theme="1"/>
            <rFont val="Aptos Narrow"/>
            <family val="2"/>
            <scheme val="minor"/>
          </rPr>
          <t>Introduzca un texto con la finalidad de la contratación</t>
        </r>
      </text>
    </comment>
    <comment ref="C514" authorId="1" shapeId="0" xr:uid="{2F516975-AC84-4E52-B3B7-E1000A86034D}">
      <text>
        <r>
          <rPr>
            <sz val="11"/>
            <color theme="1"/>
            <rFont val="Aptos Narrow"/>
            <family val="2"/>
            <scheme val="minor"/>
          </rPr>
          <t>Seleccionar un valor del listado</t>
        </r>
      </text>
    </comment>
    <comment ref="D514" authorId="1" shapeId="0" xr:uid="{03017B02-F758-4DF4-98EF-257A9105E7C9}">
      <text>
        <r>
          <rPr>
            <sz val="11"/>
            <color theme="1"/>
            <rFont val="Aptos Narrow"/>
            <family val="2"/>
            <scheme val="minor"/>
          </rPr>
          <t>Seleccione el tipo de procedimiento</t>
        </r>
      </text>
    </comment>
    <comment ref="E514" authorId="1" shapeId="0" xr:uid="{66468AE4-FF76-42C7-A22F-9164BFFC9C1C}">
      <text>
        <r>
          <rPr>
            <sz val="11"/>
            <color theme="1"/>
            <rFont val="Aptos Narrow"/>
            <family val="2"/>
            <scheme val="minor"/>
          </rPr>
          <t>Seleccione un valor de la lista</t>
        </r>
      </text>
    </comment>
    <comment ref="F514" authorId="1" shapeId="0" xr:uid="{FCFD2CB6-6925-4401-9D5B-7F0661E672F9}">
      <text>
        <r>
          <rPr>
            <sz val="11"/>
            <color theme="1"/>
            <rFont val="Aptos Narrow"/>
            <family val="2"/>
            <scheme val="minor"/>
          </rPr>
          <t>Introduzca el código SNIP</t>
        </r>
      </text>
    </comment>
    <comment ref="C515" authorId="1" shapeId="0" xr:uid="{BF70C187-6A37-48F6-A289-4D007490058F}">
      <text>
        <r>
          <rPr>
            <sz val="11"/>
            <color theme="1"/>
            <rFont val="Aptos Narrow"/>
            <family val="2"/>
            <scheme val="minor"/>
          </rPr>
          <t>Introduzca la fecha de inicio del proceso, en formato dd-mm-aaaa</t>
        </r>
      </text>
    </comment>
    <comment ref="F515" authorId="1" shapeId="0" xr:uid="{53F40DF9-9FBC-4B69-8101-9FD7CBCBA31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16" authorId="1" shapeId="0" xr:uid="{BEE7501F-26D5-43D6-903B-8CE42185A72D}">
      <text/>
    </comment>
    <comment ref="C517" authorId="1" shapeId="0" xr:uid="{5340E127-55FD-4A54-852F-308FCE202802}">
      <text>
        <r>
          <rPr>
            <sz val="11"/>
            <color theme="1"/>
            <rFont val="Aptos Narrow"/>
            <family val="2"/>
            <scheme val="minor"/>
          </rPr>
          <t>Introduzca la fecha prevista de adjudicación, en formato dd-mm-aaaa</t>
        </r>
      </text>
    </comment>
    <comment ref="F517" authorId="1" shapeId="0" xr:uid="{EB1C7407-26F3-4802-B255-2AAB7BD3C584}">
      <text/>
    </comment>
    <comment ref="F518" authorId="1" shapeId="0" xr:uid="{71E92C9A-AF31-418A-A98A-42291F8AE67A}">
      <text/>
    </comment>
    <comment ref="A520" authorId="1" shapeId="0" xr:uid="{8CF9C3D9-DBE9-4266-9297-9133B2B3D350}">
      <text>
        <r>
          <rPr>
            <sz val="11"/>
            <color theme="1"/>
            <rFont val="Aptos Narrow"/>
            <family val="2"/>
            <scheme val="minor"/>
          </rPr>
          <t>Introduzca un codigo UNSPSC</t>
        </r>
      </text>
    </comment>
    <comment ref="B520" authorId="1" shapeId="0" xr:uid="{13F0BB9F-649D-499C-91A7-8E706922E63A}">
      <text>
        <r>
          <rPr>
            <sz val="11"/>
            <color theme="1"/>
            <rFont val="Aptos Narrow"/>
            <family val="2"/>
            <scheme val="minor"/>
          </rPr>
          <t>Descripción calculada automáticamente a partir de código del artículo</t>
        </r>
      </text>
    </comment>
    <comment ref="C520" authorId="1" shapeId="0" xr:uid="{ED897BA2-C89D-4551-8A87-85E86C07439F}">
      <text>
        <r>
          <rPr>
            <sz val="11"/>
            <color theme="1"/>
            <rFont val="Aptos Narrow"/>
            <family val="2"/>
            <scheme val="minor"/>
          </rPr>
          <t>Seleccione un valor de la lista</t>
        </r>
      </text>
    </comment>
    <comment ref="D520" authorId="1" shapeId="0" xr:uid="{DB281A1E-DFC9-4ECD-9824-0DE86AECEBF9}">
      <text>
        <r>
          <rPr>
            <sz val="11"/>
            <color theme="1"/>
            <rFont val="Aptos Narrow"/>
            <family val="2"/>
            <scheme val="minor"/>
          </rPr>
          <t>Introduzca un número con dos decimales como máximo. Debe ser igual o mayor a la "Cantidad Real Consumida"</t>
        </r>
      </text>
    </comment>
    <comment ref="E520" authorId="1" shapeId="0" xr:uid="{6BDF7CBD-C541-48E1-A6D4-F384843D9A59}">
      <text>
        <r>
          <rPr>
            <sz val="11"/>
            <color theme="1"/>
            <rFont val="Aptos Narrow"/>
            <family val="2"/>
            <scheme val="minor"/>
          </rPr>
          <t>Introduzca un número con dos decimales como máximo</t>
        </r>
      </text>
    </comment>
    <comment ref="F520" authorId="1" shapeId="0" xr:uid="{5A70D6CF-D393-4F0C-9B76-1CBEA7510D45}">
      <text>
        <r>
          <rPr>
            <sz val="11"/>
            <color theme="1"/>
            <rFont val="Aptos Narrow"/>
            <family val="2"/>
            <scheme val="minor"/>
          </rPr>
          <t>Monto calculado automáticamente por el sistema</t>
        </r>
      </text>
    </comment>
    <comment ref="A525" authorId="1" shapeId="0" xr:uid="{62B23BCF-6B1D-4F4E-AC1A-C5AA6EE2608B}">
      <text>
        <r>
          <rPr>
            <sz val="11"/>
            <color theme="1"/>
            <rFont val="Aptos Narrow"/>
            <family val="2"/>
            <scheme val="minor"/>
          </rPr>
          <t>Introducir un texto con el nombre o referencia de la contratación</t>
        </r>
      </text>
    </comment>
    <comment ref="B525" authorId="1" shapeId="0" xr:uid="{770F7571-ACAC-442E-AEA4-3DBF592AEC36}">
      <text>
        <r>
          <rPr>
            <sz val="11"/>
            <color theme="1"/>
            <rFont val="Aptos Narrow"/>
            <family val="2"/>
            <scheme val="minor"/>
          </rPr>
          <t>Introduzca un texto con la finalidad de la contratación</t>
        </r>
      </text>
    </comment>
    <comment ref="C525" authorId="1" shapeId="0" xr:uid="{8C8169F5-E8C9-4065-9313-0002D8AD9AF9}">
      <text>
        <r>
          <rPr>
            <sz val="11"/>
            <color theme="1"/>
            <rFont val="Aptos Narrow"/>
            <family val="2"/>
            <scheme val="minor"/>
          </rPr>
          <t>Seleccionar un valor del listado</t>
        </r>
      </text>
    </comment>
    <comment ref="D525" authorId="1" shapeId="0" xr:uid="{773442BC-9514-4C23-B1A2-2AEC2B7E2F3F}">
      <text>
        <r>
          <rPr>
            <sz val="11"/>
            <color theme="1"/>
            <rFont val="Aptos Narrow"/>
            <family val="2"/>
            <scheme val="minor"/>
          </rPr>
          <t>Seleccione el tipo de procedimiento</t>
        </r>
      </text>
    </comment>
    <comment ref="E525" authorId="1" shapeId="0" xr:uid="{B9B8B720-7D0B-4037-A9FD-8FD9799A83C3}">
      <text>
        <r>
          <rPr>
            <sz val="11"/>
            <color theme="1"/>
            <rFont val="Aptos Narrow"/>
            <family val="2"/>
            <scheme val="minor"/>
          </rPr>
          <t>Seleccione un valor de la lista</t>
        </r>
      </text>
    </comment>
    <comment ref="F525" authorId="1" shapeId="0" xr:uid="{09B4D78B-D2D0-4BFA-9CAB-A43D77027AB5}">
      <text>
        <r>
          <rPr>
            <sz val="11"/>
            <color theme="1"/>
            <rFont val="Aptos Narrow"/>
            <family val="2"/>
            <scheme val="minor"/>
          </rPr>
          <t>Introduzca el código SNIP</t>
        </r>
      </text>
    </comment>
    <comment ref="C526" authorId="1" shapeId="0" xr:uid="{CCEA98AD-ADF4-4020-8328-0594DD7584E1}">
      <text>
        <r>
          <rPr>
            <sz val="11"/>
            <color theme="1"/>
            <rFont val="Aptos Narrow"/>
            <family val="2"/>
            <scheme val="minor"/>
          </rPr>
          <t>Introduzca la fecha de inicio del proceso, en formato dd-mm-aaaa</t>
        </r>
      </text>
    </comment>
    <comment ref="F526" authorId="1" shapeId="0" xr:uid="{CB298048-2A4D-4DC6-BC48-4181354CE36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27" authorId="1" shapeId="0" xr:uid="{EC2BD010-8D9E-413E-A1C8-06521839A49E}">
      <text/>
    </comment>
    <comment ref="C528" authorId="1" shapeId="0" xr:uid="{740C95DF-83A1-4587-A5CC-A4ED3EED762E}">
      <text>
        <r>
          <rPr>
            <sz val="11"/>
            <color theme="1"/>
            <rFont val="Aptos Narrow"/>
            <family val="2"/>
            <scheme val="minor"/>
          </rPr>
          <t>Introduzca la fecha prevista de adjudicación, en formato dd-mm-aaaa</t>
        </r>
      </text>
    </comment>
    <comment ref="F528" authorId="1" shapeId="0" xr:uid="{F2900CD6-C0C5-4F85-9236-5522E3C70E8A}">
      <text/>
    </comment>
    <comment ref="F529" authorId="1" shapeId="0" xr:uid="{B8F71B96-529C-4E31-B968-D2562117B916}">
      <text/>
    </comment>
    <comment ref="A531" authorId="1" shapeId="0" xr:uid="{3EE4A053-5B42-4995-9E5B-631226951CDC}">
      <text>
        <r>
          <rPr>
            <sz val="11"/>
            <color theme="1"/>
            <rFont val="Aptos Narrow"/>
            <family val="2"/>
            <scheme val="minor"/>
          </rPr>
          <t>Introduzca un codigo UNSPSC</t>
        </r>
      </text>
    </comment>
    <comment ref="B531" authorId="1" shapeId="0" xr:uid="{45D1104E-536D-4C1A-B203-676894E88CAE}">
      <text>
        <r>
          <rPr>
            <sz val="11"/>
            <color theme="1"/>
            <rFont val="Aptos Narrow"/>
            <family val="2"/>
            <scheme val="minor"/>
          </rPr>
          <t>Descripción calculada automáticamente a partir de código del artículo</t>
        </r>
      </text>
    </comment>
    <comment ref="C531" authorId="1" shapeId="0" xr:uid="{C5877046-0B7D-4E56-BB62-C4EDE6472ED2}">
      <text>
        <r>
          <rPr>
            <sz val="11"/>
            <color theme="1"/>
            <rFont val="Aptos Narrow"/>
            <family val="2"/>
            <scheme val="minor"/>
          </rPr>
          <t>Seleccione un valor de la lista</t>
        </r>
      </text>
    </comment>
    <comment ref="D531" authorId="1" shapeId="0" xr:uid="{0BD85561-A6B6-448A-8158-7417B48C52FE}">
      <text>
        <r>
          <rPr>
            <sz val="11"/>
            <color theme="1"/>
            <rFont val="Aptos Narrow"/>
            <family val="2"/>
            <scheme val="minor"/>
          </rPr>
          <t>Introduzca un número con dos decimales como máximo. Debe ser igual o mayor a la "Cantidad Real Consumida"</t>
        </r>
      </text>
    </comment>
    <comment ref="E531" authorId="1" shapeId="0" xr:uid="{9E0EA651-1E44-466E-91D7-3A56DCF810E6}">
      <text>
        <r>
          <rPr>
            <sz val="11"/>
            <color theme="1"/>
            <rFont val="Aptos Narrow"/>
            <family val="2"/>
            <scheme val="minor"/>
          </rPr>
          <t>Introduzca un número con dos decimales como máximo</t>
        </r>
      </text>
    </comment>
    <comment ref="F531" authorId="1" shapeId="0" xr:uid="{B7EBC273-11BE-4E6B-8567-953CBBE8CADC}">
      <text>
        <r>
          <rPr>
            <sz val="11"/>
            <color theme="1"/>
            <rFont val="Aptos Narrow"/>
            <family val="2"/>
            <scheme val="minor"/>
          </rPr>
          <t>Monto calculado automáticamente por el sistema</t>
        </r>
      </text>
    </comment>
    <comment ref="A537" authorId="1" shapeId="0" xr:uid="{D77A2361-2D06-401A-BA2F-572CD6DCFB3F}">
      <text>
        <r>
          <rPr>
            <sz val="11"/>
            <color theme="1"/>
            <rFont val="Aptos Narrow"/>
            <family val="2"/>
            <scheme val="minor"/>
          </rPr>
          <t>Introducir un texto con el nombre o referencia de la contratación</t>
        </r>
      </text>
    </comment>
    <comment ref="B537" authorId="1" shapeId="0" xr:uid="{37340DD1-0516-4804-8739-CBD7F50BDC50}">
      <text>
        <r>
          <rPr>
            <sz val="11"/>
            <color theme="1"/>
            <rFont val="Aptos Narrow"/>
            <family val="2"/>
            <scheme val="minor"/>
          </rPr>
          <t>Introduzca un texto con la finalidad de la contratación</t>
        </r>
      </text>
    </comment>
    <comment ref="C537" authorId="1" shapeId="0" xr:uid="{740885A2-5D56-4019-8086-689EA9ECDA5E}">
      <text>
        <r>
          <rPr>
            <sz val="11"/>
            <color theme="1"/>
            <rFont val="Aptos Narrow"/>
            <family val="2"/>
            <scheme val="minor"/>
          </rPr>
          <t>Seleccionar un valor del listado</t>
        </r>
      </text>
    </comment>
    <comment ref="D537" authorId="1" shapeId="0" xr:uid="{794ABA2F-700E-4C2B-9BF4-3645777CA571}">
      <text>
        <r>
          <rPr>
            <sz val="11"/>
            <color theme="1"/>
            <rFont val="Aptos Narrow"/>
            <family val="2"/>
            <scheme val="minor"/>
          </rPr>
          <t>Seleccione el tipo de procedimiento</t>
        </r>
      </text>
    </comment>
    <comment ref="E537" authorId="1" shapeId="0" xr:uid="{ACA1E9A2-6EE4-4499-A6A0-5CAC4B032919}">
      <text>
        <r>
          <rPr>
            <sz val="11"/>
            <color theme="1"/>
            <rFont val="Aptos Narrow"/>
            <family val="2"/>
            <scheme val="minor"/>
          </rPr>
          <t>Seleccione un valor de la lista</t>
        </r>
      </text>
    </comment>
    <comment ref="F537" authorId="1" shapeId="0" xr:uid="{4EE84DDF-CDE8-42A8-A683-4ADCA0A0806E}">
      <text>
        <r>
          <rPr>
            <sz val="11"/>
            <color theme="1"/>
            <rFont val="Aptos Narrow"/>
            <family val="2"/>
            <scheme val="minor"/>
          </rPr>
          <t>Introduzca el código SNIP</t>
        </r>
      </text>
    </comment>
    <comment ref="C538" authorId="1" shapeId="0" xr:uid="{5C762549-A813-4CD2-A797-5EEA07B7AC54}">
      <text>
        <r>
          <rPr>
            <sz val="11"/>
            <color theme="1"/>
            <rFont val="Aptos Narrow"/>
            <family val="2"/>
            <scheme val="minor"/>
          </rPr>
          <t>Introduzca la fecha de inicio del proceso, en formato dd-mm-aaaa</t>
        </r>
      </text>
    </comment>
    <comment ref="F538" authorId="1" shapeId="0" xr:uid="{353C1C29-FEF4-45BE-81C5-80BD8EFE6EC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39" authorId="1" shapeId="0" xr:uid="{E9368C76-353B-4B49-B36D-0CBF68EC92A1}">
      <text/>
    </comment>
    <comment ref="C540" authorId="1" shapeId="0" xr:uid="{25FABD07-32E3-41A0-A8CC-65C4F5996998}">
      <text>
        <r>
          <rPr>
            <sz val="11"/>
            <color theme="1"/>
            <rFont val="Aptos Narrow"/>
            <family val="2"/>
            <scheme val="minor"/>
          </rPr>
          <t>Introduzca la fecha prevista de adjudicación, en formato dd-mm-aaaa</t>
        </r>
      </text>
    </comment>
    <comment ref="F540" authorId="1" shapeId="0" xr:uid="{E7C453C5-FABF-414F-B3AB-895428042562}">
      <text/>
    </comment>
    <comment ref="F541" authorId="1" shapeId="0" xr:uid="{C3AE412A-8299-4B95-94D4-82BA358F7116}">
      <text/>
    </comment>
    <comment ref="A543" authorId="1" shapeId="0" xr:uid="{D38FA4C3-CED8-4934-BC29-BFF88074C953}">
      <text>
        <r>
          <rPr>
            <sz val="11"/>
            <color theme="1"/>
            <rFont val="Aptos Narrow"/>
            <family val="2"/>
            <scheme val="minor"/>
          </rPr>
          <t>Introduzca un codigo UNSPSC</t>
        </r>
      </text>
    </comment>
    <comment ref="B543" authorId="1" shapeId="0" xr:uid="{BD0E14F9-D6F5-4DF3-A452-D7C8908DA8DF}">
      <text>
        <r>
          <rPr>
            <sz val="11"/>
            <color theme="1"/>
            <rFont val="Aptos Narrow"/>
            <family val="2"/>
            <scheme val="minor"/>
          </rPr>
          <t>Descripción calculada automáticamente a partir de código del artículo</t>
        </r>
      </text>
    </comment>
    <comment ref="C543" authorId="1" shapeId="0" xr:uid="{76E08AE2-93A3-4EA2-B466-68CAED9EDDA9}">
      <text>
        <r>
          <rPr>
            <sz val="11"/>
            <color theme="1"/>
            <rFont val="Aptos Narrow"/>
            <family val="2"/>
            <scheme val="minor"/>
          </rPr>
          <t>Seleccione un valor de la lista</t>
        </r>
      </text>
    </comment>
    <comment ref="D543" authorId="1" shapeId="0" xr:uid="{EB17A84E-0614-4EEB-9CF4-46CB6ED747C6}">
      <text>
        <r>
          <rPr>
            <sz val="11"/>
            <color theme="1"/>
            <rFont val="Aptos Narrow"/>
            <family val="2"/>
            <scheme val="minor"/>
          </rPr>
          <t>Introduzca un número con dos decimales como máximo. Debe ser igual o mayor a la "Cantidad Real Consumida"</t>
        </r>
      </text>
    </comment>
    <comment ref="E543" authorId="1" shapeId="0" xr:uid="{9FDE6B02-8F76-46C0-92E1-35F11B95079D}">
      <text>
        <r>
          <rPr>
            <sz val="11"/>
            <color theme="1"/>
            <rFont val="Aptos Narrow"/>
            <family val="2"/>
            <scheme val="minor"/>
          </rPr>
          <t>Introduzca un número con dos decimales como máximo</t>
        </r>
      </text>
    </comment>
    <comment ref="F543" authorId="1" shapeId="0" xr:uid="{F75A15E1-5792-4B82-B1E2-682A4EF1F150}">
      <text>
        <r>
          <rPr>
            <sz val="11"/>
            <color theme="1"/>
            <rFont val="Aptos Narrow"/>
            <family val="2"/>
            <scheme val="minor"/>
          </rPr>
          <t>Monto calculado automáticamente por el sistema</t>
        </r>
      </text>
    </comment>
    <comment ref="A558" authorId="1" shapeId="0" xr:uid="{27853FE9-6604-4EB3-98DA-1E10C27917AA}">
      <text>
        <r>
          <rPr>
            <sz val="11"/>
            <color theme="1"/>
            <rFont val="Aptos Narrow"/>
            <family val="2"/>
            <scheme val="minor"/>
          </rPr>
          <t>Introducir un texto con el nombre o referencia de la contratación</t>
        </r>
      </text>
    </comment>
    <comment ref="B558" authorId="1" shapeId="0" xr:uid="{5326642A-206C-4871-824C-29E0CAB9BD3C}">
      <text>
        <r>
          <rPr>
            <sz val="11"/>
            <color theme="1"/>
            <rFont val="Aptos Narrow"/>
            <family val="2"/>
            <scheme val="minor"/>
          </rPr>
          <t>Introduzca un texto con la finalidad de la contratación</t>
        </r>
      </text>
    </comment>
    <comment ref="C558" authorId="1" shapeId="0" xr:uid="{49FD89A9-0722-4574-A23A-14F3FDAEA318}">
      <text>
        <r>
          <rPr>
            <sz val="11"/>
            <color theme="1"/>
            <rFont val="Aptos Narrow"/>
            <family val="2"/>
            <scheme val="minor"/>
          </rPr>
          <t>Seleccionar un valor del listado</t>
        </r>
      </text>
    </comment>
    <comment ref="D558" authorId="1" shapeId="0" xr:uid="{D72EDD8A-80F5-4F68-B60D-6BF2E13A842B}">
      <text>
        <r>
          <rPr>
            <sz val="11"/>
            <color theme="1"/>
            <rFont val="Aptos Narrow"/>
            <family val="2"/>
            <scheme val="minor"/>
          </rPr>
          <t>Seleccione el tipo de procedimiento</t>
        </r>
      </text>
    </comment>
    <comment ref="E558" authorId="1" shapeId="0" xr:uid="{F0AA690D-9231-4D6E-9B61-8B137930506B}">
      <text>
        <r>
          <rPr>
            <sz val="11"/>
            <color theme="1"/>
            <rFont val="Aptos Narrow"/>
            <family val="2"/>
            <scheme val="minor"/>
          </rPr>
          <t>Seleccione un valor de la lista</t>
        </r>
      </text>
    </comment>
    <comment ref="F558" authorId="1" shapeId="0" xr:uid="{5051C4CC-85F0-4F5A-8931-9A22A075939B}">
      <text>
        <r>
          <rPr>
            <sz val="11"/>
            <color theme="1"/>
            <rFont val="Aptos Narrow"/>
            <family val="2"/>
            <scheme val="minor"/>
          </rPr>
          <t>Introduzca el código SNIP</t>
        </r>
      </text>
    </comment>
    <comment ref="C559" authorId="1" shapeId="0" xr:uid="{262826FE-3B63-44E7-A2BE-67124101F91F}">
      <text>
        <r>
          <rPr>
            <sz val="11"/>
            <color theme="1"/>
            <rFont val="Aptos Narrow"/>
            <family val="2"/>
            <scheme val="minor"/>
          </rPr>
          <t>Introduzca la fecha de inicio del proceso, en formato dd-mm-aaaa</t>
        </r>
      </text>
    </comment>
    <comment ref="F559" authorId="1" shapeId="0" xr:uid="{785C4208-55C6-4B23-BB8E-86800E4021D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60" authorId="1" shapeId="0" xr:uid="{3F1B4E37-1B29-43C9-AB9A-0859BE1F1A8C}">
      <text/>
    </comment>
    <comment ref="C561" authorId="1" shapeId="0" xr:uid="{5B5B452C-3416-4B75-AF6B-82963514AA0C}">
      <text>
        <r>
          <rPr>
            <sz val="11"/>
            <color theme="1"/>
            <rFont val="Aptos Narrow"/>
            <family val="2"/>
            <scheme val="minor"/>
          </rPr>
          <t>Introduzca la fecha prevista de adjudicación, en formato dd-mm-aaaa</t>
        </r>
      </text>
    </comment>
    <comment ref="F561" authorId="1" shapeId="0" xr:uid="{8590F264-BA58-4E59-BDE7-8671C15138BB}">
      <text/>
    </comment>
    <comment ref="F562" authorId="1" shapeId="0" xr:uid="{E5102BC9-9229-47AA-98A6-C64D279A8A56}">
      <text/>
    </comment>
    <comment ref="A564" authorId="1" shapeId="0" xr:uid="{E1DA50E3-8D34-4EA9-8608-A5F016ECEE8F}">
      <text>
        <r>
          <rPr>
            <sz val="11"/>
            <color theme="1"/>
            <rFont val="Aptos Narrow"/>
            <family val="2"/>
            <scheme val="minor"/>
          </rPr>
          <t>Introduzca un codigo UNSPSC</t>
        </r>
      </text>
    </comment>
    <comment ref="B564" authorId="1" shapeId="0" xr:uid="{381DB04B-DEBC-4120-B9B0-636A668B6C15}">
      <text>
        <r>
          <rPr>
            <sz val="11"/>
            <color theme="1"/>
            <rFont val="Aptos Narrow"/>
            <family val="2"/>
            <scheme val="minor"/>
          </rPr>
          <t>Descripción calculada automáticamente a partir de código del artículo</t>
        </r>
      </text>
    </comment>
    <comment ref="C564" authorId="1" shapeId="0" xr:uid="{1221615F-5CA9-41A7-80DF-A25E6A2DDD07}">
      <text>
        <r>
          <rPr>
            <sz val="11"/>
            <color theme="1"/>
            <rFont val="Aptos Narrow"/>
            <family val="2"/>
            <scheme val="minor"/>
          </rPr>
          <t>Seleccione un valor de la lista</t>
        </r>
      </text>
    </comment>
    <comment ref="D564" authorId="1" shapeId="0" xr:uid="{070745B7-C956-40D2-A404-F6CEC37B0920}">
      <text>
        <r>
          <rPr>
            <sz val="11"/>
            <color theme="1"/>
            <rFont val="Aptos Narrow"/>
            <family val="2"/>
            <scheme val="minor"/>
          </rPr>
          <t>Introduzca un número con dos decimales como máximo. Debe ser igual o mayor a la "Cantidad Real Consumida"</t>
        </r>
      </text>
    </comment>
    <comment ref="E564" authorId="1" shapeId="0" xr:uid="{7BD39AD5-FD7D-43A9-860D-4C186CA87359}">
      <text>
        <r>
          <rPr>
            <sz val="11"/>
            <color theme="1"/>
            <rFont val="Aptos Narrow"/>
            <family val="2"/>
            <scheme val="minor"/>
          </rPr>
          <t>Introduzca un número con dos decimales como máximo</t>
        </r>
      </text>
    </comment>
    <comment ref="F564" authorId="1" shapeId="0" xr:uid="{C2C26346-E6E1-4BCF-80F9-654B6DFA8939}">
      <text>
        <r>
          <rPr>
            <sz val="11"/>
            <color theme="1"/>
            <rFont val="Aptos Narrow"/>
            <family val="2"/>
            <scheme val="minor"/>
          </rPr>
          <t>Monto calculado automáticamente por el sistema</t>
        </r>
      </text>
    </comment>
    <comment ref="A584" authorId="1" shapeId="0" xr:uid="{A630A17B-2A92-49CF-8462-89F8CB0C3E11}">
      <text>
        <r>
          <rPr>
            <sz val="11"/>
            <color theme="1"/>
            <rFont val="Aptos Narrow"/>
            <family val="2"/>
            <scheme val="minor"/>
          </rPr>
          <t>Introducir un texto con el nombre o referencia de la contratación</t>
        </r>
      </text>
    </comment>
    <comment ref="B584" authorId="1" shapeId="0" xr:uid="{C0DDE26C-19B5-4694-9EB0-BE8C48EB780B}">
      <text>
        <r>
          <rPr>
            <sz val="11"/>
            <color theme="1"/>
            <rFont val="Aptos Narrow"/>
            <family val="2"/>
            <scheme val="minor"/>
          </rPr>
          <t>Introduzca un texto con la finalidad de la contratación</t>
        </r>
      </text>
    </comment>
    <comment ref="C584" authorId="1" shapeId="0" xr:uid="{D3DF1517-AFD2-41F6-8FFC-531244B632B4}">
      <text>
        <r>
          <rPr>
            <sz val="11"/>
            <color theme="1"/>
            <rFont val="Aptos Narrow"/>
            <family val="2"/>
            <scheme val="minor"/>
          </rPr>
          <t>Seleccionar un valor del listado</t>
        </r>
      </text>
    </comment>
    <comment ref="D584" authorId="1" shapeId="0" xr:uid="{7EA84A91-0505-46A6-BB1A-EF96E0A272D4}">
      <text>
        <r>
          <rPr>
            <sz val="11"/>
            <color theme="1"/>
            <rFont val="Aptos Narrow"/>
            <family val="2"/>
            <scheme val="minor"/>
          </rPr>
          <t>Seleccione el tipo de procedimiento</t>
        </r>
      </text>
    </comment>
    <comment ref="E584" authorId="1" shapeId="0" xr:uid="{7EC9B11B-11B5-44BC-9F00-1F1B2C17C80B}">
      <text>
        <r>
          <rPr>
            <sz val="11"/>
            <color theme="1"/>
            <rFont val="Aptos Narrow"/>
            <family val="2"/>
            <scheme val="minor"/>
          </rPr>
          <t>Seleccione un valor de la lista</t>
        </r>
      </text>
    </comment>
    <comment ref="F584" authorId="1" shapeId="0" xr:uid="{8C2C46CD-0CC5-4E38-82F1-E57D924EC45A}">
      <text>
        <r>
          <rPr>
            <sz val="11"/>
            <color theme="1"/>
            <rFont val="Aptos Narrow"/>
            <family val="2"/>
            <scheme val="minor"/>
          </rPr>
          <t>Introduzca el código SNIP</t>
        </r>
      </text>
    </comment>
    <comment ref="C585" authorId="1" shapeId="0" xr:uid="{A8187FBC-B7D3-44FB-9095-8AA69BCE25FF}">
      <text>
        <r>
          <rPr>
            <sz val="11"/>
            <color theme="1"/>
            <rFont val="Aptos Narrow"/>
            <family val="2"/>
            <scheme val="minor"/>
          </rPr>
          <t>Introduzca la fecha de inicio del proceso, en formato dd-mm-aaaa</t>
        </r>
      </text>
    </comment>
    <comment ref="F585" authorId="1" shapeId="0" xr:uid="{7FECC80F-4ABE-40D4-AD81-287FAF570F6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86" authorId="1" shapeId="0" xr:uid="{484CAE56-BAB5-443E-B888-A2F99503E1DD}">
      <text/>
    </comment>
    <comment ref="C587" authorId="1" shapeId="0" xr:uid="{E9447BD8-D5D8-43A9-91DE-50E02B30B321}">
      <text>
        <r>
          <rPr>
            <sz val="11"/>
            <color theme="1"/>
            <rFont val="Aptos Narrow"/>
            <family val="2"/>
            <scheme val="minor"/>
          </rPr>
          <t>Introduzca la fecha prevista de adjudicación, en formato dd-mm-aaaa</t>
        </r>
      </text>
    </comment>
    <comment ref="F587" authorId="1" shapeId="0" xr:uid="{FF994631-E2AF-41FA-963B-CBEFD1D6B987}">
      <text/>
    </comment>
    <comment ref="F588" authorId="1" shapeId="0" xr:uid="{202BD19A-9D23-4F99-9B1D-93872E359A83}">
      <text/>
    </comment>
    <comment ref="A590" authorId="1" shapeId="0" xr:uid="{4D2CC461-A67E-48A3-9F00-5A4920FA72C5}">
      <text>
        <r>
          <rPr>
            <sz val="11"/>
            <color theme="1"/>
            <rFont val="Aptos Narrow"/>
            <family val="2"/>
            <scheme val="minor"/>
          </rPr>
          <t>Introduzca un codigo UNSPSC</t>
        </r>
      </text>
    </comment>
    <comment ref="B590" authorId="1" shapeId="0" xr:uid="{22FDB889-8F25-4EC5-9FC0-660190B12E61}">
      <text>
        <r>
          <rPr>
            <sz val="11"/>
            <color theme="1"/>
            <rFont val="Aptos Narrow"/>
            <family val="2"/>
            <scheme val="minor"/>
          </rPr>
          <t>Descripción calculada automáticamente a partir de código del artículo</t>
        </r>
      </text>
    </comment>
    <comment ref="C590" authorId="1" shapeId="0" xr:uid="{C19C3DA1-A790-475D-8C73-33EC4E4E3CC7}">
      <text>
        <r>
          <rPr>
            <sz val="11"/>
            <color theme="1"/>
            <rFont val="Aptos Narrow"/>
            <family val="2"/>
            <scheme val="minor"/>
          </rPr>
          <t>Seleccione un valor de la lista</t>
        </r>
      </text>
    </comment>
    <comment ref="D590" authorId="1" shapeId="0" xr:uid="{831BB8B9-6F51-49E8-BA9D-60C7895FB489}">
      <text>
        <r>
          <rPr>
            <sz val="11"/>
            <color theme="1"/>
            <rFont val="Aptos Narrow"/>
            <family val="2"/>
            <scheme val="minor"/>
          </rPr>
          <t>Introduzca un número con dos decimales como máximo. Debe ser igual o mayor a la "Cantidad Real Consumida"</t>
        </r>
      </text>
    </comment>
    <comment ref="E590" authorId="1" shapeId="0" xr:uid="{3C363A05-4667-4CD8-9781-EF2012340814}">
      <text>
        <r>
          <rPr>
            <sz val="11"/>
            <color theme="1"/>
            <rFont val="Aptos Narrow"/>
            <family val="2"/>
            <scheme val="minor"/>
          </rPr>
          <t>Introduzca un número con dos decimales como máximo</t>
        </r>
      </text>
    </comment>
    <comment ref="F590" authorId="1" shapeId="0" xr:uid="{4B7FFEE9-520D-4FC8-BE92-5F44DC0132C0}">
      <text>
        <r>
          <rPr>
            <sz val="11"/>
            <color theme="1"/>
            <rFont val="Aptos Narrow"/>
            <family val="2"/>
            <scheme val="minor"/>
          </rPr>
          <t>Monto calculado automáticamente por el sistema</t>
        </r>
      </text>
    </comment>
    <comment ref="A598" authorId="1" shapeId="0" xr:uid="{55EEBB00-F5BA-4132-8240-992A682F2FE1}">
      <text>
        <r>
          <rPr>
            <sz val="11"/>
            <color theme="1"/>
            <rFont val="Aptos Narrow"/>
            <family val="2"/>
            <scheme val="minor"/>
          </rPr>
          <t>Introducir un texto con el nombre o referencia de la contratación</t>
        </r>
      </text>
    </comment>
    <comment ref="B598" authorId="1" shapeId="0" xr:uid="{46068E6C-0E39-4C86-AC5C-81DE50026608}">
      <text>
        <r>
          <rPr>
            <sz val="11"/>
            <color theme="1"/>
            <rFont val="Aptos Narrow"/>
            <family val="2"/>
            <scheme val="minor"/>
          </rPr>
          <t>Introduzca un texto con la finalidad de la contratación</t>
        </r>
      </text>
    </comment>
    <comment ref="C598" authorId="1" shapeId="0" xr:uid="{9DEC555D-AF94-4106-8349-BA10DD082D83}">
      <text>
        <r>
          <rPr>
            <sz val="11"/>
            <color theme="1"/>
            <rFont val="Aptos Narrow"/>
            <family val="2"/>
            <scheme val="minor"/>
          </rPr>
          <t>Seleccionar un valor del listado</t>
        </r>
      </text>
    </comment>
    <comment ref="D598" authorId="1" shapeId="0" xr:uid="{114458B6-E400-472F-9BEA-D879A0DED615}">
      <text>
        <r>
          <rPr>
            <sz val="11"/>
            <color theme="1"/>
            <rFont val="Aptos Narrow"/>
            <family val="2"/>
            <scheme val="minor"/>
          </rPr>
          <t>Seleccione el tipo de procedimiento</t>
        </r>
      </text>
    </comment>
    <comment ref="E598" authorId="1" shapeId="0" xr:uid="{C009B56D-4A67-4B28-83B0-56B5ABAC58A3}">
      <text>
        <r>
          <rPr>
            <sz val="11"/>
            <color theme="1"/>
            <rFont val="Aptos Narrow"/>
            <family val="2"/>
            <scheme val="minor"/>
          </rPr>
          <t>Seleccione un valor de la lista</t>
        </r>
      </text>
    </comment>
    <comment ref="F598" authorId="1" shapeId="0" xr:uid="{98FE639C-4B0C-4592-8B4C-B976CE777350}">
      <text>
        <r>
          <rPr>
            <sz val="11"/>
            <color theme="1"/>
            <rFont val="Aptos Narrow"/>
            <family val="2"/>
            <scheme val="minor"/>
          </rPr>
          <t>Introduzca el código SNIP</t>
        </r>
      </text>
    </comment>
    <comment ref="C599" authorId="1" shapeId="0" xr:uid="{7C90B7ED-F0BD-4912-85D5-DDA8D5B816B5}">
      <text>
        <r>
          <rPr>
            <sz val="11"/>
            <color theme="1"/>
            <rFont val="Aptos Narrow"/>
            <family val="2"/>
            <scheme val="minor"/>
          </rPr>
          <t>Introduzca la fecha de inicio del proceso, en formato dd-mm-aaaa</t>
        </r>
      </text>
    </comment>
    <comment ref="F599" authorId="1" shapeId="0" xr:uid="{C684B77D-9476-4BE5-B2D2-DA82FAA9A2C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00" authorId="1" shapeId="0" xr:uid="{F1509EB9-29BD-4E35-9E07-37194760E914}">
      <text/>
    </comment>
    <comment ref="C601" authorId="1" shapeId="0" xr:uid="{0F20EC06-7386-42CD-B250-904B4ADD240E}">
      <text>
        <r>
          <rPr>
            <sz val="11"/>
            <color theme="1"/>
            <rFont val="Aptos Narrow"/>
            <family val="2"/>
            <scheme val="minor"/>
          </rPr>
          <t>Introduzca la fecha prevista de adjudicación, en formato dd-mm-aaaa</t>
        </r>
      </text>
    </comment>
    <comment ref="F601" authorId="1" shapeId="0" xr:uid="{FF74F5D4-0107-4342-95BA-78B190937C67}">
      <text/>
    </comment>
    <comment ref="F602" authorId="1" shapeId="0" xr:uid="{8E067884-F127-4B45-9385-D1A5CD4563BE}">
      <text/>
    </comment>
    <comment ref="A604" authorId="1" shapeId="0" xr:uid="{87DD806F-7F53-4AC6-930B-B44237061000}">
      <text>
        <r>
          <rPr>
            <sz val="11"/>
            <color theme="1"/>
            <rFont val="Aptos Narrow"/>
            <family val="2"/>
            <scheme val="minor"/>
          </rPr>
          <t>Introduzca un codigo UNSPSC</t>
        </r>
      </text>
    </comment>
    <comment ref="B604" authorId="1" shapeId="0" xr:uid="{F9DD814B-B2F8-48FA-B7E8-06C3BE7396BF}">
      <text>
        <r>
          <rPr>
            <sz val="11"/>
            <color theme="1"/>
            <rFont val="Aptos Narrow"/>
            <family val="2"/>
            <scheme val="minor"/>
          </rPr>
          <t>Descripción calculada automáticamente a partir de código del artículo</t>
        </r>
      </text>
    </comment>
    <comment ref="C604" authorId="1" shapeId="0" xr:uid="{EDFCF183-235B-43C8-B62E-FFC1FDDF6555}">
      <text>
        <r>
          <rPr>
            <sz val="11"/>
            <color theme="1"/>
            <rFont val="Aptos Narrow"/>
            <family val="2"/>
            <scheme val="minor"/>
          </rPr>
          <t>Seleccione un valor de la lista</t>
        </r>
      </text>
    </comment>
    <comment ref="D604" authorId="1" shapeId="0" xr:uid="{F10F0561-6FC0-469C-B84F-F179A510B88B}">
      <text>
        <r>
          <rPr>
            <sz val="11"/>
            <color theme="1"/>
            <rFont val="Aptos Narrow"/>
            <family val="2"/>
            <scheme val="minor"/>
          </rPr>
          <t>Introduzca un número con dos decimales como máximo. Debe ser igual o mayor a la "Cantidad Real Consumida"</t>
        </r>
      </text>
    </comment>
    <comment ref="E604" authorId="1" shapeId="0" xr:uid="{B4267BCD-7868-44E9-BAC9-224F29FBDA99}">
      <text>
        <r>
          <rPr>
            <sz val="11"/>
            <color theme="1"/>
            <rFont val="Aptos Narrow"/>
            <family val="2"/>
            <scheme val="minor"/>
          </rPr>
          <t>Introduzca un número con dos decimales como máximo</t>
        </r>
      </text>
    </comment>
    <comment ref="F604" authorId="1" shapeId="0" xr:uid="{A2B51FD8-D3C0-4C78-A977-6A30910F1F74}">
      <text>
        <r>
          <rPr>
            <sz val="11"/>
            <color theme="1"/>
            <rFont val="Aptos Narrow"/>
            <family val="2"/>
            <scheme val="minor"/>
          </rPr>
          <t>Monto calculado automáticamente por el sistema</t>
        </r>
      </text>
    </comment>
    <comment ref="A609" authorId="1" shapeId="0" xr:uid="{922011A9-6C27-4CB7-B205-11CC4BCE5F90}">
      <text>
        <r>
          <rPr>
            <sz val="11"/>
            <color theme="1"/>
            <rFont val="Aptos Narrow"/>
            <family val="2"/>
            <scheme val="minor"/>
          </rPr>
          <t>Introducir un texto con el nombre o referencia de la contratación</t>
        </r>
      </text>
    </comment>
    <comment ref="B609" authorId="1" shapeId="0" xr:uid="{DA173F84-00ED-42E3-93F7-900E3C79D687}">
      <text>
        <r>
          <rPr>
            <sz val="11"/>
            <color theme="1"/>
            <rFont val="Aptos Narrow"/>
            <family val="2"/>
            <scheme val="minor"/>
          </rPr>
          <t>Introduzca un texto con la finalidad de la contratación</t>
        </r>
      </text>
    </comment>
    <comment ref="C609" authorId="1" shapeId="0" xr:uid="{7F7DD5BE-477E-471C-86FC-CE8A67FC63E4}">
      <text>
        <r>
          <rPr>
            <sz val="11"/>
            <color theme="1"/>
            <rFont val="Aptos Narrow"/>
            <family val="2"/>
            <scheme val="minor"/>
          </rPr>
          <t>Seleccionar un valor del listado</t>
        </r>
      </text>
    </comment>
    <comment ref="D609" authorId="1" shapeId="0" xr:uid="{E783650D-30AF-40DE-829C-D497EEEAB728}">
      <text>
        <r>
          <rPr>
            <sz val="11"/>
            <color theme="1"/>
            <rFont val="Aptos Narrow"/>
            <family val="2"/>
            <scheme val="minor"/>
          </rPr>
          <t>Seleccione el tipo de procedimiento</t>
        </r>
      </text>
    </comment>
    <comment ref="E609" authorId="1" shapeId="0" xr:uid="{B79FA21F-2A56-4FE0-8B35-7BCAF103B89F}">
      <text>
        <r>
          <rPr>
            <sz val="11"/>
            <color theme="1"/>
            <rFont val="Aptos Narrow"/>
            <family val="2"/>
            <scheme val="minor"/>
          </rPr>
          <t>Seleccione un valor de la lista</t>
        </r>
      </text>
    </comment>
    <comment ref="F609" authorId="1" shapeId="0" xr:uid="{5F5C30AC-3AA4-4670-8C27-E07D591FA372}">
      <text>
        <r>
          <rPr>
            <sz val="11"/>
            <color theme="1"/>
            <rFont val="Aptos Narrow"/>
            <family val="2"/>
            <scheme val="minor"/>
          </rPr>
          <t>Introduzca el código SNIP</t>
        </r>
      </text>
    </comment>
    <comment ref="C610" authorId="1" shapeId="0" xr:uid="{739921B5-BA92-44D5-AE0D-A5AD26884E23}">
      <text>
        <r>
          <rPr>
            <sz val="11"/>
            <color theme="1"/>
            <rFont val="Aptos Narrow"/>
            <family val="2"/>
            <scheme val="minor"/>
          </rPr>
          <t>Introduzca la fecha de inicio del proceso, en formato dd-mm-aaaa</t>
        </r>
      </text>
    </comment>
    <comment ref="F610" authorId="1" shapeId="0" xr:uid="{E7CF8872-AB9D-410C-B5C3-3482789BF60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11" authorId="1" shapeId="0" xr:uid="{9FFC80DC-1214-40DA-B5A8-543FE03DB562}">
      <text/>
    </comment>
    <comment ref="C612" authorId="1" shapeId="0" xr:uid="{27FFCAEE-C74F-47C5-8B1B-CC3AA75577E7}">
      <text>
        <r>
          <rPr>
            <sz val="11"/>
            <color theme="1"/>
            <rFont val="Aptos Narrow"/>
            <family val="2"/>
            <scheme val="minor"/>
          </rPr>
          <t>Introduzca la fecha prevista de adjudicación, en formato dd-mm-aaaa</t>
        </r>
      </text>
    </comment>
    <comment ref="F612" authorId="1" shapeId="0" xr:uid="{6D043730-B329-487B-93E3-2C6EDAC5AEF6}">
      <text/>
    </comment>
    <comment ref="F613" authorId="1" shapeId="0" xr:uid="{AA9C423A-42D1-44C9-902D-FFF37532EFB2}">
      <text/>
    </comment>
    <comment ref="A615" authorId="1" shapeId="0" xr:uid="{B7DC8D84-E75F-4AAB-A7B5-EBFB5F0CFDA9}">
      <text>
        <r>
          <rPr>
            <sz val="11"/>
            <color theme="1"/>
            <rFont val="Aptos Narrow"/>
            <family val="2"/>
            <scheme val="minor"/>
          </rPr>
          <t>Introduzca un codigo UNSPSC</t>
        </r>
      </text>
    </comment>
    <comment ref="B615" authorId="1" shapeId="0" xr:uid="{CE2C9F55-7178-4465-B378-CB02E50E5CED}">
      <text>
        <r>
          <rPr>
            <sz val="11"/>
            <color theme="1"/>
            <rFont val="Aptos Narrow"/>
            <family val="2"/>
            <scheme val="minor"/>
          </rPr>
          <t>Descripción calculada automáticamente a partir de código del artículo</t>
        </r>
      </text>
    </comment>
    <comment ref="C615" authorId="1" shapeId="0" xr:uid="{D62BFD68-53FB-462E-9290-C4A3F9951171}">
      <text>
        <r>
          <rPr>
            <sz val="11"/>
            <color theme="1"/>
            <rFont val="Aptos Narrow"/>
            <family val="2"/>
            <scheme val="minor"/>
          </rPr>
          <t>Seleccione un valor de la lista</t>
        </r>
      </text>
    </comment>
    <comment ref="D615" authorId="1" shapeId="0" xr:uid="{89ACEE67-B03F-46EE-8954-6FCD7A34FE79}">
      <text>
        <r>
          <rPr>
            <sz val="11"/>
            <color theme="1"/>
            <rFont val="Aptos Narrow"/>
            <family val="2"/>
            <scheme val="minor"/>
          </rPr>
          <t>Introduzca un número con dos decimales como máximo. Debe ser igual o mayor a la "Cantidad Real Consumida"</t>
        </r>
      </text>
    </comment>
    <comment ref="E615" authorId="1" shapeId="0" xr:uid="{231EE7D8-BA75-43D9-8956-A39CEC8CC7AE}">
      <text>
        <r>
          <rPr>
            <sz val="11"/>
            <color theme="1"/>
            <rFont val="Aptos Narrow"/>
            <family val="2"/>
            <scheme val="minor"/>
          </rPr>
          <t>Introduzca un número con dos decimales como máximo</t>
        </r>
      </text>
    </comment>
    <comment ref="F615" authorId="1" shapeId="0" xr:uid="{9F28DC9C-13DA-435C-9A1E-0B2080328E61}">
      <text>
        <r>
          <rPr>
            <sz val="11"/>
            <color theme="1"/>
            <rFont val="Aptos Narrow"/>
            <family val="2"/>
            <scheme val="minor"/>
          </rPr>
          <t>Monto calculado automáticamente por el sistema</t>
        </r>
      </text>
    </comment>
    <comment ref="A620" authorId="1" shapeId="0" xr:uid="{160D653D-380B-473F-93E5-2761B405B2CB}">
      <text>
        <r>
          <rPr>
            <sz val="11"/>
            <color theme="1"/>
            <rFont val="Aptos Narrow"/>
            <family val="2"/>
            <scheme val="minor"/>
          </rPr>
          <t>Introducir un texto con el nombre o referencia de la contratación</t>
        </r>
      </text>
    </comment>
    <comment ref="B620" authorId="1" shapeId="0" xr:uid="{0CF6A543-DD9E-47A0-BB8E-A1E0369DD675}">
      <text>
        <r>
          <rPr>
            <sz val="11"/>
            <color theme="1"/>
            <rFont val="Aptos Narrow"/>
            <family val="2"/>
            <scheme val="minor"/>
          </rPr>
          <t>Introduzca un texto con la finalidad de la contratación</t>
        </r>
      </text>
    </comment>
    <comment ref="C620" authorId="1" shapeId="0" xr:uid="{D885FAB2-BC9E-4454-8EEA-40D86DADFA30}">
      <text>
        <r>
          <rPr>
            <sz val="11"/>
            <color theme="1"/>
            <rFont val="Aptos Narrow"/>
            <family val="2"/>
            <scheme val="minor"/>
          </rPr>
          <t>Seleccionar un valor del listado</t>
        </r>
      </text>
    </comment>
    <comment ref="D620" authorId="1" shapeId="0" xr:uid="{BF2B7681-988C-45EC-ADE3-39600C3174E9}">
      <text>
        <r>
          <rPr>
            <sz val="11"/>
            <color theme="1"/>
            <rFont val="Aptos Narrow"/>
            <family val="2"/>
            <scheme val="minor"/>
          </rPr>
          <t>Seleccione el tipo de procedimiento</t>
        </r>
      </text>
    </comment>
    <comment ref="E620" authorId="1" shapeId="0" xr:uid="{B4B0A40E-0A83-4D1A-B54F-019DCC0500CF}">
      <text>
        <r>
          <rPr>
            <sz val="11"/>
            <color theme="1"/>
            <rFont val="Aptos Narrow"/>
            <family val="2"/>
            <scheme val="minor"/>
          </rPr>
          <t>Seleccione un valor de la lista</t>
        </r>
      </text>
    </comment>
    <comment ref="F620" authorId="1" shapeId="0" xr:uid="{00956C1A-122C-4580-B4DB-66DA9F80F4FE}">
      <text>
        <r>
          <rPr>
            <sz val="11"/>
            <color theme="1"/>
            <rFont val="Aptos Narrow"/>
            <family val="2"/>
            <scheme val="minor"/>
          </rPr>
          <t>Introduzca el código SNIP</t>
        </r>
      </text>
    </comment>
    <comment ref="C621" authorId="1" shapeId="0" xr:uid="{628AC80C-1AF2-40A3-8CEC-6F24BF2A5F03}">
      <text>
        <r>
          <rPr>
            <sz val="11"/>
            <color theme="1"/>
            <rFont val="Aptos Narrow"/>
            <family val="2"/>
            <scheme val="minor"/>
          </rPr>
          <t>Introduzca la fecha de inicio del proceso, en formato dd-mm-aaaa</t>
        </r>
      </text>
    </comment>
    <comment ref="F621" authorId="1" shapeId="0" xr:uid="{8E7B83CC-191D-462C-964C-8E6E513217D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22" authorId="1" shapeId="0" xr:uid="{27248B6A-B062-433C-B41D-04B0AAB93B96}">
      <text/>
    </comment>
    <comment ref="C623" authorId="1" shapeId="0" xr:uid="{6BE7FD68-B938-48C1-9410-C2DD3190363E}">
      <text>
        <r>
          <rPr>
            <sz val="11"/>
            <color theme="1"/>
            <rFont val="Aptos Narrow"/>
            <family val="2"/>
            <scheme val="minor"/>
          </rPr>
          <t>Introduzca la fecha prevista de adjudicación, en formato dd-mm-aaaa</t>
        </r>
      </text>
    </comment>
    <comment ref="F623" authorId="1" shapeId="0" xr:uid="{BECB24FA-269F-494B-B3EC-B1FC28F65A3F}">
      <text/>
    </comment>
    <comment ref="F624" authorId="1" shapeId="0" xr:uid="{9DAF5586-524D-4E7A-AC3A-4ACB64C869C6}">
      <text/>
    </comment>
    <comment ref="A626" authorId="1" shapeId="0" xr:uid="{E9B48042-8B4A-4B3D-A5FE-05FBF28E03A9}">
      <text>
        <r>
          <rPr>
            <sz val="11"/>
            <color theme="1"/>
            <rFont val="Aptos Narrow"/>
            <family val="2"/>
            <scheme val="minor"/>
          </rPr>
          <t>Introduzca un codigo UNSPSC</t>
        </r>
      </text>
    </comment>
    <comment ref="B626" authorId="1" shapeId="0" xr:uid="{59D35631-6452-42B2-A1E0-8A2CEA154E34}">
      <text>
        <r>
          <rPr>
            <sz val="11"/>
            <color theme="1"/>
            <rFont val="Aptos Narrow"/>
            <family val="2"/>
            <scheme val="minor"/>
          </rPr>
          <t>Descripción calculada automáticamente a partir de código del artículo</t>
        </r>
      </text>
    </comment>
    <comment ref="C626" authorId="1" shapeId="0" xr:uid="{B446C7B1-F8CD-411B-8FF2-EEE27E9430AA}">
      <text>
        <r>
          <rPr>
            <sz val="11"/>
            <color theme="1"/>
            <rFont val="Aptos Narrow"/>
            <family val="2"/>
            <scheme val="minor"/>
          </rPr>
          <t>Seleccione un valor de la lista</t>
        </r>
      </text>
    </comment>
    <comment ref="D626" authorId="1" shapeId="0" xr:uid="{6C48D814-5FB2-4C78-BD60-D15A3C6AAFD1}">
      <text>
        <r>
          <rPr>
            <sz val="11"/>
            <color theme="1"/>
            <rFont val="Aptos Narrow"/>
            <family val="2"/>
            <scheme val="minor"/>
          </rPr>
          <t>Introduzca un número con dos decimales como máximo. Debe ser igual o mayor a la "Cantidad Real Consumida"</t>
        </r>
      </text>
    </comment>
    <comment ref="E626" authorId="1" shapeId="0" xr:uid="{9AEDC3A4-30B3-4FEC-8282-99C9EFE342C5}">
      <text>
        <r>
          <rPr>
            <sz val="11"/>
            <color theme="1"/>
            <rFont val="Aptos Narrow"/>
            <family val="2"/>
            <scheme val="minor"/>
          </rPr>
          <t>Introduzca un número con dos decimales como máximo</t>
        </r>
      </text>
    </comment>
    <comment ref="F626" authorId="1" shapeId="0" xr:uid="{A2106125-A77C-424C-8494-431DE2EDFF45}">
      <text>
        <r>
          <rPr>
            <sz val="11"/>
            <color theme="1"/>
            <rFont val="Aptos Narrow"/>
            <family val="2"/>
            <scheme val="minor"/>
          </rPr>
          <t>Monto calculado automáticamente por el sistema</t>
        </r>
      </text>
    </comment>
    <comment ref="A723" authorId="1" shapeId="0" xr:uid="{D10CFF7A-45D8-4B49-ADE4-485C895424F8}">
      <text>
        <r>
          <rPr>
            <sz val="11"/>
            <color theme="1"/>
            <rFont val="Aptos Narrow"/>
            <family val="2"/>
            <scheme val="minor"/>
          </rPr>
          <t>Introducir un texto con el nombre o referencia de la contratación</t>
        </r>
      </text>
    </comment>
    <comment ref="B723" authorId="1" shapeId="0" xr:uid="{0A83D1E5-0575-4F2D-BA3C-AA3392E45B46}">
      <text>
        <r>
          <rPr>
            <sz val="11"/>
            <color theme="1"/>
            <rFont val="Aptos Narrow"/>
            <family val="2"/>
            <scheme val="minor"/>
          </rPr>
          <t>Introduzca un texto con la finalidad de la contratación</t>
        </r>
      </text>
    </comment>
    <comment ref="C723" authorId="1" shapeId="0" xr:uid="{08BFA057-0FAE-46B3-9E01-6AE401DD80E9}">
      <text>
        <r>
          <rPr>
            <sz val="11"/>
            <color theme="1"/>
            <rFont val="Aptos Narrow"/>
            <family val="2"/>
            <scheme val="minor"/>
          </rPr>
          <t>Seleccionar un valor del listado</t>
        </r>
      </text>
    </comment>
    <comment ref="D723" authorId="1" shapeId="0" xr:uid="{66AE05BE-4518-4D89-AA4E-1FE0D5DE6FB8}">
      <text>
        <r>
          <rPr>
            <sz val="11"/>
            <color theme="1"/>
            <rFont val="Aptos Narrow"/>
            <family val="2"/>
            <scheme val="minor"/>
          </rPr>
          <t>Seleccione el tipo de procedimiento</t>
        </r>
      </text>
    </comment>
    <comment ref="E723" authorId="1" shapeId="0" xr:uid="{9A8D0611-EC01-4C68-A15F-7053FDC694ED}">
      <text>
        <r>
          <rPr>
            <sz val="11"/>
            <color theme="1"/>
            <rFont val="Aptos Narrow"/>
            <family val="2"/>
            <scheme val="minor"/>
          </rPr>
          <t>Seleccione un valor de la lista</t>
        </r>
      </text>
    </comment>
    <comment ref="F723" authorId="1" shapeId="0" xr:uid="{8CB06D52-879F-4196-BD2D-D21FD9A0EE62}">
      <text>
        <r>
          <rPr>
            <sz val="11"/>
            <color theme="1"/>
            <rFont val="Aptos Narrow"/>
            <family val="2"/>
            <scheme val="minor"/>
          </rPr>
          <t>Introduzca el código SNIP</t>
        </r>
      </text>
    </comment>
    <comment ref="C724" authorId="1" shapeId="0" xr:uid="{C44FA129-68DE-4207-B414-BBAB08583752}">
      <text>
        <r>
          <rPr>
            <sz val="11"/>
            <color theme="1"/>
            <rFont val="Aptos Narrow"/>
            <family val="2"/>
            <scheme val="minor"/>
          </rPr>
          <t>Introduzca la fecha de inicio del proceso, en formato dd-mm-aaaa</t>
        </r>
      </text>
    </comment>
    <comment ref="F724" authorId="1" shapeId="0" xr:uid="{03EB93BB-4389-4F09-99DD-B252773F6E5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25" authorId="1" shapeId="0" xr:uid="{0A700B87-4B3A-45C4-98BB-5EC8BA778B7D}">
      <text/>
    </comment>
    <comment ref="C726" authorId="1" shapeId="0" xr:uid="{086843D9-2307-4297-8659-8194548BAC27}">
      <text>
        <r>
          <rPr>
            <sz val="11"/>
            <color theme="1"/>
            <rFont val="Aptos Narrow"/>
            <family val="2"/>
            <scheme val="minor"/>
          </rPr>
          <t>Introduzca la fecha prevista de adjudicación, en formato dd-mm-aaaa</t>
        </r>
      </text>
    </comment>
    <comment ref="F726" authorId="1" shapeId="0" xr:uid="{D2EE27C0-0394-431E-AC4E-5EA5A4A894E9}">
      <text/>
    </comment>
    <comment ref="F727" authorId="1" shapeId="0" xr:uid="{22332360-BA79-40D5-BF40-C02A6A04BE6D}">
      <text/>
    </comment>
    <comment ref="A729" authorId="1" shapeId="0" xr:uid="{217ECA7F-05C3-42BB-9FEB-233F52DF438C}">
      <text>
        <r>
          <rPr>
            <sz val="11"/>
            <color theme="1"/>
            <rFont val="Aptos Narrow"/>
            <family val="2"/>
            <scheme val="minor"/>
          </rPr>
          <t>Introduzca un codigo UNSPSC</t>
        </r>
      </text>
    </comment>
    <comment ref="B729" authorId="1" shapeId="0" xr:uid="{01C028C0-1E6F-4177-9A98-07FBBB6BED8D}">
      <text>
        <r>
          <rPr>
            <sz val="11"/>
            <color theme="1"/>
            <rFont val="Aptos Narrow"/>
            <family val="2"/>
            <scheme val="minor"/>
          </rPr>
          <t>Descripción calculada automáticamente a partir de código del artículo</t>
        </r>
      </text>
    </comment>
    <comment ref="C729" authorId="1" shapeId="0" xr:uid="{3340540A-FA32-49CB-AEAC-060D578E8E29}">
      <text>
        <r>
          <rPr>
            <sz val="11"/>
            <color theme="1"/>
            <rFont val="Aptos Narrow"/>
            <family val="2"/>
            <scheme val="minor"/>
          </rPr>
          <t>Seleccione un valor de la lista</t>
        </r>
      </text>
    </comment>
    <comment ref="D729" authorId="1" shapeId="0" xr:uid="{03604239-9CB9-49AC-A929-64F0CD4C3E48}">
      <text>
        <r>
          <rPr>
            <sz val="11"/>
            <color theme="1"/>
            <rFont val="Aptos Narrow"/>
            <family val="2"/>
            <scheme val="minor"/>
          </rPr>
          <t>Introduzca un número con dos decimales como máximo. Debe ser igual o mayor a la "Cantidad Real Consumida"</t>
        </r>
      </text>
    </comment>
    <comment ref="E729" authorId="1" shapeId="0" xr:uid="{889E06A8-D156-4B46-8BFE-F86017B0EE37}">
      <text>
        <r>
          <rPr>
            <sz val="11"/>
            <color theme="1"/>
            <rFont val="Aptos Narrow"/>
            <family val="2"/>
            <scheme val="minor"/>
          </rPr>
          <t>Introduzca un número con dos decimales como máximo</t>
        </r>
      </text>
    </comment>
    <comment ref="F729" authorId="1" shapeId="0" xr:uid="{3AF1E506-B08D-4F57-A4EE-59B7238D4BBC}">
      <text>
        <r>
          <rPr>
            <sz val="11"/>
            <color theme="1"/>
            <rFont val="Aptos Narrow"/>
            <family val="2"/>
            <scheme val="minor"/>
          </rPr>
          <t>Monto calculado automáticamente por el sistema</t>
        </r>
      </text>
    </comment>
    <comment ref="A736" authorId="1" shapeId="0" xr:uid="{ECA81FC4-51DF-46DB-B5EA-2C159A5B33FE}">
      <text>
        <r>
          <rPr>
            <sz val="11"/>
            <color theme="1"/>
            <rFont val="Aptos Narrow"/>
            <family val="2"/>
            <scheme val="minor"/>
          </rPr>
          <t>Introducir un texto con el nombre o referencia de la contratación</t>
        </r>
      </text>
    </comment>
    <comment ref="B736" authorId="1" shapeId="0" xr:uid="{16672DC0-9312-4AC3-92F0-9E0C59D580C2}">
      <text>
        <r>
          <rPr>
            <sz val="11"/>
            <color theme="1"/>
            <rFont val="Aptos Narrow"/>
            <family val="2"/>
            <scheme val="minor"/>
          </rPr>
          <t>Introduzca un texto con la finalidad de la contratación</t>
        </r>
      </text>
    </comment>
    <comment ref="C736" authorId="1" shapeId="0" xr:uid="{8DE64564-221E-40F0-8F30-D69257D34F33}">
      <text>
        <r>
          <rPr>
            <sz val="11"/>
            <color theme="1"/>
            <rFont val="Aptos Narrow"/>
            <family val="2"/>
            <scheme val="minor"/>
          </rPr>
          <t>Seleccionar un valor del listado</t>
        </r>
      </text>
    </comment>
    <comment ref="D736" authorId="1" shapeId="0" xr:uid="{007C114F-1787-46B1-BEC8-D3AFFF66E1A9}">
      <text>
        <r>
          <rPr>
            <sz val="11"/>
            <color theme="1"/>
            <rFont val="Aptos Narrow"/>
            <family val="2"/>
            <scheme val="minor"/>
          </rPr>
          <t>Seleccione el tipo de procedimiento</t>
        </r>
      </text>
    </comment>
    <comment ref="E736" authorId="1" shapeId="0" xr:uid="{DD9646A1-E3D3-409A-BD43-4C2B8B938B1A}">
      <text>
        <r>
          <rPr>
            <sz val="11"/>
            <color theme="1"/>
            <rFont val="Aptos Narrow"/>
            <family val="2"/>
            <scheme val="minor"/>
          </rPr>
          <t>Seleccione un valor de la lista</t>
        </r>
      </text>
    </comment>
    <comment ref="F736" authorId="1" shapeId="0" xr:uid="{29F14F62-74BB-43B4-BF64-FABE86BF433B}">
      <text>
        <r>
          <rPr>
            <sz val="11"/>
            <color theme="1"/>
            <rFont val="Aptos Narrow"/>
            <family val="2"/>
            <scheme val="minor"/>
          </rPr>
          <t>Introduzca el código SNIP</t>
        </r>
      </text>
    </comment>
    <comment ref="C737" authorId="1" shapeId="0" xr:uid="{2B93DFA3-9492-4155-87F9-211D5293CAD7}">
      <text>
        <r>
          <rPr>
            <sz val="11"/>
            <color theme="1"/>
            <rFont val="Aptos Narrow"/>
            <family val="2"/>
            <scheme val="minor"/>
          </rPr>
          <t>Introduzca la fecha de inicio del proceso, en formato dd-mm-aaaa</t>
        </r>
      </text>
    </comment>
    <comment ref="F737" authorId="1" shapeId="0" xr:uid="{2A2CA236-8227-4981-A4A4-0BD09FF9A4D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38" authorId="1" shapeId="0" xr:uid="{D5B4D65C-89B1-45A5-AA45-D7E786F54A7E}">
      <text/>
    </comment>
    <comment ref="C739" authorId="1" shapeId="0" xr:uid="{11F35729-2E57-493C-BCCB-53B5859D8DA5}">
      <text>
        <r>
          <rPr>
            <sz val="11"/>
            <color theme="1"/>
            <rFont val="Aptos Narrow"/>
            <family val="2"/>
            <scheme val="minor"/>
          </rPr>
          <t>Introduzca la fecha prevista de adjudicación, en formato dd-mm-aaaa</t>
        </r>
      </text>
    </comment>
    <comment ref="F739" authorId="1" shapeId="0" xr:uid="{3D706D40-7924-4DF9-9E32-B759A7E933FE}">
      <text/>
    </comment>
    <comment ref="F740" authorId="1" shapeId="0" xr:uid="{6C30EE5E-C201-4BBC-A803-48D3BF560722}">
      <text/>
    </comment>
    <comment ref="A742" authorId="1" shapeId="0" xr:uid="{3246D01B-DED8-4FE6-98B8-08AEF628D4B7}">
      <text>
        <r>
          <rPr>
            <sz val="11"/>
            <color theme="1"/>
            <rFont val="Aptos Narrow"/>
            <family val="2"/>
            <scheme val="minor"/>
          </rPr>
          <t>Introduzca un codigo UNSPSC</t>
        </r>
      </text>
    </comment>
    <comment ref="B742" authorId="1" shapeId="0" xr:uid="{D6D266C7-855D-4807-9550-39CDF7EBEAEC}">
      <text>
        <r>
          <rPr>
            <sz val="11"/>
            <color theme="1"/>
            <rFont val="Aptos Narrow"/>
            <family val="2"/>
            <scheme val="minor"/>
          </rPr>
          <t>Descripción calculada automáticamente a partir de código del artículo</t>
        </r>
      </text>
    </comment>
    <comment ref="C742" authorId="1" shapeId="0" xr:uid="{768F827F-1046-4B2B-93A8-A2AF14FD3A38}">
      <text>
        <r>
          <rPr>
            <sz val="11"/>
            <color theme="1"/>
            <rFont val="Aptos Narrow"/>
            <family val="2"/>
            <scheme val="minor"/>
          </rPr>
          <t>Seleccione un valor de la lista</t>
        </r>
      </text>
    </comment>
    <comment ref="D742" authorId="1" shapeId="0" xr:uid="{6C457710-6AE8-4505-BEBF-447EC534B8F8}">
      <text>
        <r>
          <rPr>
            <sz val="11"/>
            <color theme="1"/>
            <rFont val="Aptos Narrow"/>
            <family val="2"/>
            <scheme val="minor"/>
          </rPr>
          <t>Introduzca un número con dos decimales como máximo. Debe ser igual o mayor a la "Cantidad Real Consumida"</t>
        </r>
      </text>
    </comment>
    <comment ref="E742" authorId="1" shapeId="0" xr:uid="{12C97230-77BC-4E8F-96A2-1E3EF66124F3}">
      <text>
        <r>
          <rPr>
            <sz val="11"/>
            <color theme="1"/>
            <rFont val="Aptos Narrow"/>
            <family val="2"/>
            <scheme val="minor"/>
          </rPr>
          <t>Introduzca un número con dos decimales como máximo</t>
        </r>
      </text>
    </comment>
    <comment ref="F742" authorId="1" shapeId="0" xr:uid="{6604D08A-8D94-4B31-8C01-5B03644256AD}">
      <text>
        <r>
          <rPr>
            <sz val="11"/>
            <color theme="1"/>
            <rFont val="Aptos Narrow"/>
            <family val="2"/>
            <scheme val="minor"/>
          </rPr>
          <t>Monto calculado automáticamente por el sistema</t>
        </r>
      </text>
    </comment>
    <comment ref="A748" authorId="1" shapeId="0" xr:uid="{07348A71-9F43-48CF-A673-0557398CEBAD}">
      <text>
        <r>
          <rPr>
            <sz val="11"/>
            <color theme="1"/>
            <rFont val="Aptos Narrow"/>
            <family val="2"/>
            <scheme val="minor"/>
          </rPr>
          <t>Introducir un texto con el nombre o referencia de la contratación</t>
        </r>
      </text>
    </comment>
    <comment ref="B748" authorId="1" shapeId="0" xr:uid="{64802E87-1E53-4C4B-A08E-AF4355579DDD}">
      <text>
        <r>
          <rPr>
            <sz val="11"/>
            <color theme="1"/>
            <rFont val="Aptos Narrow"/>
            <family val="2"/>
            <scheme val="minor"/>
          </rPr>
          <t>Introduzca un texto con la finalidad de la contratación</t>
        </r>
      </text>
    </comment>
    <comment ref="C748" authorId="1" shapeId="0" xr:uid="{9D6D914A-9325-4322-BEFB-2F840E5CBC09}">
      <text>
        <r>
          <rPr>
            <sz val="11"/>
            <color theme="1"/>
            <rFont val="Aptos Narrow"/>
            <family val="2"/>
            <scheme val="minor"/>
          </rPr>
          <t>Seleccionar un valor del listado</t>
        </r>
      </text>
    </comment>
    <comment ref="D748" authorId="1" shapeId="0" xr:uid="{4E368743-F1D9-41D9-9085-64A676B2906A}">
      <text>
        <r>
          <rPr>
            <sz val="11"/>
            <color theme="1"/>
            <rFont val="Aptos Narrow"/>
            <family val="2"/>
            <scheme val="minor"/>
          </rPr>
          <t>Seleccione el tipo de procedimiento</t>
        </r>
      </text>
    </comment>
    <comment ref="E748" authorId="1" shapeId="0" xr:uid="{E2580838-8454-4C3C-9123-E830E215A28F}">
      <text>
        <r>
          <rPr>
            <sz val="11"/>
            <color theme="1"/>
            <rFont val="Aptos Narrow"/>
            <family val="2"/>
            <scheme val="minor"/>
          </rPr>
          <t>Seleccione un valor de la lista</t>
        </r>
      </text>
    </comment>
    <comment ref="F748" authorId="1" shapeId="0" xr:uid="{A5C3328F-5F37-40B9-8815-BEC03BB35E04}">
      <text>
        <r>
          <rPr>
            <sz val="11"/>
            <color theme="1"/>
            <rFont val="Aptos Narrow"/>
            <family val="2"/>
            <scheme val="minor"/>
          </rPr>
          <t>Introduzca el código SNIP</t>
        </r>
      </text>
    </comment>
    <comment ref="C749" authorId="1" shapeId="0" xr:uid="{5510B3A2-44FF-49BD-AD26-4D2B836DDCD9}">
      <text>
        <r>
          <rPr>
            <sz val="11"/>
            <color theme="1"/>
            <rFont val="Aptos Narrow"/>
            <family val="2"/>
            <scheme val="minor"/>
          </rPr>
          <t>Introduzca la fecha de inicio del proceso, en formato dd-mm-aaaa</t>
        </r>
      </text>
    </comment>
    <comment ref="F749" authorId="1" shapeId="0" xr:uid="{039874E4-5912-4B9E-80DD-0B726286C77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50" authorId="1" shapeId="0" xr:uid="{D3E4F8EB-9FAF-4D68-897D-605E4C4EB7C9}">
      <text/>
    </comment>
    <comment ref="C751" authorId="1" shapeId="0" xr:uid="{123A28B3-24DB-4F07-9D40-943A2E9C2796}">
      <text>
        <r>
          <rPr>
            <sz val="11"/>
            <color theme="1"/>
            <rFont val="Aptos Narrow"/>
            <family val="2"/>
            <scheme val="minor"/>
          </rPr>
          <t>Introduzca la fecha prevista de adjudicación, en formato dd-mm-aaaa</t>
        </r>
      </text>
    </comment>
    <comment ref="F751" authorId="1" shapeId="0" xr:uid="{597FEF5F-C588-4171-8EED-8AF0CCE84B1C}">
      <text/>
    </comment>
    <comment ref="F752" authorId="1" shapeId="0" xr:uid="{9466ADE1-2226-4052-9B89-C25F7BC66B6D}">
      <text/>
    </comment>
    <comment ref="A754" authorId="1" shapeId="0" xr:uid="{122B0A74-8502-4F1A-ACBD-A7A3FD6F6C2C}">
      <text>
        <r>
          <rPr>
            <sz val="11"/>
            <color theme="1"/>
            <rFont val="Aptos Narrow"/>
            <family val="2"/>
            <scheme val="minor"/>
          </rPr>
          <t>Introduzca un codigo UNSPSC</t>
        </r>
      </text>
    </comment>
    <comment ref="B754" authorId="1" shapeId="0" xr:uid="{D779FFF9-1E12-40B4-99E6-7F020FDAEFA5}">
      <text>
        <r>
          <rPr>
            <sz val="11"/>
            <color theme="1"/>
            <rFont val="Aptos Narrow"/>
            <family val="2"/>
            <scheme val="minor"/>
          </rPr>
          <t>Descripción calculada automáticamente a partir de código del artículo</t>
        </r>
      </text>
    </comment>
    <comment ref="C754" authorId="1" shapeId="0" xr:uid="{F330B56F-8402-45E4-9214-EDA5EE59A35B}">
      <text>
        <r>
          <rPr>
            <sz val="11"/>
            <color theme="1"/>
            <rFont val="Aptos Narrow"/>
            <family val="2"/>
            <scheme val="minor"/>
          </rPr>
          <t>Seleccione un valor de la lista</t>
        </r>
      </text>
    </comment>
    <comment ref="D754" authorId="1" shapeId="0" xr:uid="{57C0F92B-30F6-4554-891D-B6C9BF96A712}">
      <text>
        <r>
          <rPr>
            <sz val="11"/>
            <color theme="1"/>
            <rFont val="Aptos Narrow"/>
            <family val="2"/>
            <scheme val="minor"/>
          </rPr>
          <t>Introduzca un número con dos decimales como máximo. Debe ser igual o mayor a la "Cantidad Real Consumida"</t>
        </r>
      </text>
    </comment>
    <comment ref="E754" authorId="1" shapeId="0" xr:uid="{5A67F3F9-01E0-42D5-B648-75BA55551330}">
      <text>
        <r>
          <rPr>
            <sz val="11"/>
            <color theme="1"/>
            <rFont val="Aptos Narrow"/>
            <family val="2"/>
            <scheme val="minor"/>
          </rPr>
          <t>Introduzca un número con dos decimales como máximo</t>
        </r>
      </text>
    </comment>
    <comment ref="F754" authorId="1" shapeId="0" xr:uid="{FB48DBE4-44F3-4B7D-B0BA-B0027C518966}">
      <text>
        <r>
          <rPr>
            <sz val="11"/>
            <color theme="1"/>
            <rFont val="Aptos Narrow"/>
            <family val="2"/>
            <scheme val="minor"/>
          </rPr>
          <t>Monto calculado automáticamente por el sistema</t>
        </r>
      </text>
    </comment>
    <comment ref="A760" authorId="1" shapeId="0" xr:uid="{F54FF2EE-7A3C-42FD-A138-3ED182021DF9}">
      <text>
        <r>
          <rPr>
            <sz val="11"/>
            <color theme="1"/>
            <rFont val="Aptos Narrow"/>
            <family val="2"/>
            <scheme val="minor"/>
          </rPr>
          <t>Introducir un texto con el nombre o referencia de la contratación</t>
        </r>
      </text>
    </comment>
    <comment ref="B760" authorId="1" shapeId="0" xr:uid="{F3A8F6C8-9C77-41B3-BC0A-6D0FF4D3B578}">
      <text>
        <r>
          <rPr>
            <sz val="11"/>
            <color theme="1"/>
            <rFont val="Aptos Narrow"/>
            <family val="2"/>
            <scheme val="minor"/>
          </rPr>
          <t>Introduzca un texto con la finalidad de la contratación</t>
        </r>
      </text>
    </comment>
    <comment ref="C760" authorId="1" shapeId="0" xr:uid="{B51A5F8A-1D5D-4C33-9113-393D143253CD}">
      <text>
        <r>
          <rPr>
            <sz val="11"/>
            <color theme="1"/>
            <rFont val="Aptos Narrow"/>
            <family val="2"/>
            <scheme val="minor"/>
          </rPr>
          <t>Seleccionar un valor del listado</t>
        </r>
      </text>
    </comment>
    <comment ref="D760" authorId="1" shapeId="0" xr:uid="{BEC08E61-A1BB-467E-BB57-5A0BB17BF628}">
      <text>
        <r>
          <rPr>
            <sz val="11"/>
            <color theme="1"/>
            <rFont val="Aptos Narrow"/>
            <family val="2"/>
            <scheme val="minor"/>
          </rPr>
          <t>Seleccione el tipo de procedimiento</t>
        </r>
      </text>
    </comment>
    <comment ref="E760" authorId="1" shapeId="0" xr:uid="{FF8EE478-AAB3-4260-A6D4-53ADBE525591}">
      <text>
        <r>
          <rPr>
            <sz val="11"/>
            <color theme="1"/>
            <rFont val="Aptos Narrow"/>
            <family val="2"/>
            <scheme val="minor"/>
          </rPr>
          <t>Seleccione un valor de la lista</t>
        </r>
      </text>
    </comment>
    <comment ref="F760" authorId="1" shapeId="0" xr:uid="{DC21B82C-533D-4D1D-A4AF-D4A01C62345E}">
      <text>
        <r>
          <rPr>
            <sz val="11"/>
            <color theme="1"/>
            <rFont val="Aptos Narrow"/>
            <family val="2"/>
            <scheme val="minor"/>
          </rPr>
          <t>Introduzca el código SNIP</t>
        </r>
      </text>
    </comment>
    <comment ref="C761" authorId="1" shapeId="0" xr:uid="{C8556AB1-5399-49D6-9ADC-82FDCF17A69A}">
      <text>
        <r>
          <rPr>
            <sz val="11"/>
            <color theme="1"/>
            <rFont val="Aptos Narrow"/>
            <family val="2"/>
            <scheme val="minor"/>
          </rPr>
          <t>Introduzca la fecha de inicio del proceso, en formato dd-mm-aaaa</t>
        </r>
      </text>
    </comment>
    <comment ref="F761" authorId="1" shapeId="0" xr:uid="{95CE51F3-52A8-4FFF-BECB-137FD14272D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62" authorId="1" shapeId="0" xr:uid="{5BC99ABD-5AFD-4E3C-8D18-E42EB07803FF}">
      <text/>
    </comment>
    <comment ref="C763" authorId="1" shapeId="0" xr:uid="{3C7FDF3A-AA6C-4BC4-BEE2-5E45C459F1DC}">
      <text>
        <r>
          <rPr>
            <sz val="11"/>
            <color theme="1"/>
            <rFont val="Aptos Narrow"/>
            <family val="2"/>
            <scheme val="minor"/>
          </rPr>
          <t>Introduzca la fecha prevista de adjudicación, en formato dd-mm-aaaa</t>
        </r>
      </text>
    </comment>
    <comment ref="F763" authorId="1" shapeId="0" xr:uid="{B9210CA4-A150-4695-B9E2-2D473A13167D}">
      <text/>
    </comment>
    <comment ref="F764" authorId="1" shapeId="0" xr:uid="{C5D90717-6D12-4CA0-A6F8-850D23570ECB}">
      <text/>
    </comment>
    <comment ref="A766" authorId="1" shapeId="0" xr:uid="{B1F51DB4-EBCB-4AF3-8EE9-75C345EFAE50}">
      <text>
        <r>
          <rPr>
            <sz val="11"/>
            <color theme="1"/>
            <rFont val="Aptos Narrow"/>
            <family val="2"/>
            <scheme val="minor"/>
          </rPr>
          <t>Introduzca un codigo UNSPSC</t>
        </r>
      </text>
    </comment>
    <comment ref="B766" authorId="1" shapeId="0" xr:uid="{6464F635-02E2-4CEA-A97F-901BAEAE267C}">
      <text>
        <r>
          <rPr>
            <sz val="11"/>
            <color theme="1"/>
            <rFont val="Aptos Narrow"/>
            <family val="2"/>
            <scheme val="minor"/>
          </rPr>
          <t>Descripción calculada automáticamente a partir de código del artículo</t>
        </r>
      </text>
    </comment>
    <comment ref="C766" authorId="1" shapeId="0" xr:uid="{2EEF9709-153E-4A9E-8EBB-2E46E55B54D2}">
      <text>
        <r>
          <rPr>
            <sz val="11"/>
            <color theme="1"/>
            <rFont val="Aptos Narrow"/>
            <family val="2"/>
            <scheme val="minor"/>
          </rPr>
          <t>Seleccione un valor de la lista</t>
        </r>
      </text>
    </comment>
    <comment ref="D766" authorId="1" shapeId="0" xr:uid="{780E0EA6-3CA3-49AD-96C3-55B1C212FB91}">
      <text>
        <r>
          <rPr>
            <sz val="11"/>
            <color theme="1"/>
            <rFont val="Aptos Narrow"/>
            <family val="2"/>
            <scheme val="minor"/>
          </rPr>
          <t>Introduzca un número con dos decimales como máximo. Debe ser igual o mayor a la "Cantidad Real Consumida"</t>
        </r>
      </text>
    </comment>
    <comment ref="E766" authorId="1" shapeId="0" xr:uid="{77B451C1-427D-4F56-9BED-C54FAAD6AEC3}">
      <text>
        <r>
          <rPr>
            <sz val="11"/>
            <color theme="1"/>
            <rFont val="Aptos Narrow"/>
            <family val="2"/>
            <scheme val="minor"/>
          </rPr>
          <t>Introduzca un número con dos decimales como máximo</t>
        </r>
      </text>
    </comment>
    <comment ref="F766" authorId="1" shapeId="0" xr:uid="{F816A0D1-438A-41C9-9FBB-89B1724E867D}">
      <text>
        <r>
          <rPr>
            <sz val="11"/>
            <color theme="1"/>
            <rFont val="Aptos Narrow"/>
            <family val="2"/>
            <scheme val="minor"/>
          </rPr>
          <t>Monto calculado automáticamente por el sistema</t>
        </r>
      </text>
    </comment>
    <comment ref="A784" authorId="1" shapeId="0" xr:uid="{3427771D-0F29-4DB0-9E1D-F46334494C77}">
      <text>
        <r>
          <rPr>
            <sz val="11"/>
            <color theme="1"/>
            <rFont val="Aptos Narrow"/>
            <family val="2"/>
            <scheme val="minor"/>
          </rPr>
          <t>Introducir un texto con el nombre o referencia de la contratación</t>
        </r>
      </text>
    </comment>
    <comment ref="B784" authorId="1" shapeId="0" xr:uid="{71B76A1B-C2E6-4C85-93AB-51554A783EEC}">
      <text>
        <r>
          <rPr>
            <sz val="11"/>
            <color theme="1"/>
            <rFont val="Aptos Narrow"/>
            <family val="2"/>
            <scheme val="minor"/>
          </rPr>
          <t>Introduzca un texto con la finalidad de la contratación</t>
        </r>
      </text>
    </comment>
    <comment ref="C784" authorId="1" shapeId="0" xr:uid="{EC5FCBE9-280F-41E2-BA54-413BAF5B464F}">
      <text>
        <r>
          <rPr>
            <sz val="11"/>
            <color theme="1"/>
            <rFont val="Aptos Narrow"/>
            <family val="2"/>
            <scheme val="minor"/>
          </rPr>
          <t>Seleccionar un valor del listado</t>
        </r>
      </text>
    </comment>
    <comment ref="D784" authorId="1" shapeId="0" xr:uid="{31F0BF35-3F55-4206-840C-40E58CAA443F}">
      <text>
        <r>
          <rPr>
            <sz val="11"/>
            <color theme="1"/>
            <rFont val="Aptos Narrow"/>
            <family val="2"/>
            <scheme val="minor"/>
          </rPr>
          <t>Seleccione el tipo de procedimiento</t>
        </r>
      </text>
    </comment>
    <comment ref="E784" authorId="1" shapeId="0" xr:uid="{C136A5B7-D6AE-4072-B0FF-6F9026378A14}">
      <text>
        <r>
          <rPr>
            <sz val="11"/>
            <color theme="1"/>
            <rFont val="Aptos Narrow"/>
            <family val="2"/>
            <scheme val="minor"/>
          </rPr>
          <t>Seleccione un valor de la lista</t>
        </r>
      </text>
    </comment>
    <comment ref="F784" authorId="1" shapeId="0" xr:uid="{7A7BC64C-959F-42B9-ABE8-EDF9D4CD2192}">
      <text>
        <r>
          <rPr>
            <sz val="11"/>
            <color theme="1"/>
            <rFont val="Aptos Narrow"/>
            <family val="2"/>
            <scheme val="minor"/>
          </rPr>
          <t>Introduzca el código SNIP</t>
        </r>
      </text>
    </comment>
    <comment ref="C785" authorId="1" shapeId="0" xr:uid="{B9D040D2-6E19-4386-A7E3-C3C35B55BC62}">
      <text>
        <r>
          <rPr>
            <sz val="11"/>
            <color theme="1"/>
            <rFont val="Aptos Narrow"/>
            <family val="2"/>
            <scheme val="minor"/>
          </rPr>
          <t>Introduzca la fecha de inicio del proceso, en formato dd-mm-aaaa</t>
        </r>
      </text>
    </comment>
    <comment ref="F785" authorId="1" shapeId="0" xr:uid="{997CF324-34D9-455D-A17A-D8B48ECE581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86" authorId="1" shapeId="0" xr:uid="{F3DB4808-95BC-456C-A769-6041F49D154A}">
      <text/>
    </comment>
    <comment ref="C787" authorId="1" shapeId="0" xr:uid="{61567790-0FA8-4B4B-86BA-941D62611B88}">
      <text>
        <r>
          <rPr>
            <sz val="11"/>
            <color theme="1"/>
            <rFont val="Aptos Narrow"/>
            <family val="2"/>
            <scheme val="minor"/>
          </rPr>
          <t>Introduzca la fecha prevista de adjudicación, en formato dd-mm-aaaa</t>
        </r>
      </text>
    </comment>
    <comment ref="F787" authorId="1" shapeId="0" xr:uid="{43AD4792-E09E-444B-B87C-21A67F1993C0}">
      <text/>
    </comment>
    <comment ref="F788" authorId="1" shapeId="0" xr:uid="{4E1D9691-0ACD-48C3-90AF-DC54912D213B}">
      <text/>
    </comment>
    <comment ref="A790" authorId="1" shapeId="0" xr:uid="{3F4EFD68-BC89-4E6E-9C85-709366F6BD54}">
      <text>
        <r>
          <rPr>
            <sz val="11"/>
            <color theme="1"/>
            <rFont val="Aptos Narrow"/>
            <family val="2"/>
            <scheme val="minor"/>
          </rPr>
          <t>Introduzca un codigo UNSPSC</t>
        </r>
      </text>
    </comment>
    <comment ref="B790" authorId="1" shapeId="0" xr:uid="{73A6EC5B-92B1-476A-8CF5-DF7084B91302}">
      <text>
        <r>
          <rPr>
            <sz val="11"/>
            <color theme="1"/>
            <rFont val="Aptos Narrow"/>
            <family val="2"/>
            <scheme val="minor"/>
          </rPr>
          <t>Descripción calculada automáticamente a partir de código del artículo</t>
        </r>
      </text>
    </comment>
    <comment ref="C790" authorId="1" shapeId="0" xr:uid="{33BC583B-8748-4A9D-9266-A34CECA2C46C}">
      <text>
        <r>
          <rPr>
            <sz val="11"/>
            <color theme="1"/>
            <rFont val="Aptos Narrow"/>
            <family val="2"/>
            <scheme val="minor"/>
          </rPr>
          <t>Seleccione un valor de la lista</t>
        </r>
      </text>
    </comment>
    <comment ref="D790" authorId="1" shapeId="0" xr:uid="{0E8A7DEB-EE76-48DE-BA1E-44353DE71631}">
      <text>
        <r>
          <rPr>
            <sz val="11"/>
            <color theme="1"/>
            <rFont val="Aptos Narrow"/>
            <family val="2"/>
            <scheme val="minor"/>
          </rPr>
          <t>Introduzca un número con dos decimales como máximo. Debe ser igual o mayor a la "Cantidad Real Consumida"</t>
        </r>
      </text>
    </comment>
    <comment ref="E790" authorId="1" shapeId="0" xr:uid="{9E885DF4-DC81-436C-8078-E751FB4C6B8D}">
      <text>
        <r>
          <rPr>
            <sz val="11"/>
            <color theme="1"/>
            <rFont val="Aptos Narrow"/>
            <family val="2"/>
            <scheme val="minor"/>
          </rPr>
          <t>Introduzca un número con dos decimales como máximo</t>
        </r>
      </text>
    </comment>
    <comment ref="F790" authorId="1" shapeId="0" xr:uid="{344F3DFB-F749-46DF-A473-584E9A9708F9}">
      <text>
        <r>
          <rPr>
            <sz val="11"/>
            <color theme="1"/>
            <rFont val="Aptos Narrow"/>
            <family val="2"/>
            <scheme val="minor"/>
          </rPr>
          <t>Monto calculado automáticamente por el sistema</t>
        </r>
      </text>
    </comment>
    <comment ref="A796" authorId="1" shapeId="0" xr:uid="{D27BCA4D-71BF-44FD-91CF-8225BF56A947}">
      <text>
        <r>
          <rPr>
            <sz val="11"/>
            <color theme="1"/>
            <rFont val="Aptos Narrow"/>
            <family val="2"/>
            <scheme val="minor"/>
          </rPr>
          <t>Introducir un texto con el nombre o referencia de la contratación</t>
        </r>
      </text>
    </comment>
    <comment ref="B796" authorId="1" shapeId="0" xr:uid="{D91688BF-961C-46E3-8450-A4F6B7B18928}">
      <text>
        <r>
          <rPr>
            <sz val="11"/>
            <color theme="1"/>
            <rFont val="Aptos Narrow"/>
            <family val="2"/>
            <scheme val="minor"/>
          </rPr>
          <t>Introduzca un texto con la finalidad de la contratación</t>
        </r>
      </text>
    </comment>
    <comment ref="C796" authorId="1" shapeId="0" xr:uid="{6183694D-3CE7-494C-80AB-5502D31BCC1B}">
      <text>
        <r>
          <rPr>
            <sz val="11"/>
            <color theme="1"/>
            <rFont val="Aptos Narrow"/>
            <family val="2"/>
            <scheme val="minor"/>
          </rPr>
          <t>Seleccionar un valor del listado</t>
        </r>
      </text>
    </comment>
    <comment ref="D796" authorId="1" shapeId="0" xr:uid="{58BD23FA-3F6F-4EDF-9E6C-31E6C785C9B4}">
      <text>
        <r>
          <rPr>
            <sz val="11"/>
            <color theme="1"/>
            <rFont val="Aptos Narrow"/>
            <family val="2"/>
            <scheme val="minor"/>
          </rPr>
          <t>Seleccione el tipo de procedimiento</t>
        </r>
      </text>
    </comment>
    <comment ref="E796" authorId="1" shapeId="0" xr:uid="{DD782FA8-A85C-44BF-A108-A70DC5387529}">
      <text>
        <r>
          <rPr>
            <sz val="11"/>
            <color theme="1"/>
            <rFont val="Aptos Narrow"/>
            <family val="2"/>
            <scheme val="minor"/>
          </rPr>
          <t>Seleccione un valor de la lista</t>
        </r>
      </text>
    </comment>
    <comment ref="F796" authorId="1" shapeId="0" xr:uid="{DA421BB7-8113-4BF0-AD76-DF3A532E4535}">
      <text>
        <r>
          <rPr>
            <sz val="11"/>
            <color theme="1"/>
            <rFont val="Aptos Narrow"/>
            <family val="2"/>
            <scheme val="minor"/>
          </rPr>
          <t>Introduzca el código SNIP</t>
        </r>
      </text>
    </comment>
    <comment ref="C797" authorId="1" shapeId="0" xr:uid="{F729BB5B-131D-4CC8-BD54-0098A2D475B3}">
      <text>
        <r>
          <rPr>
            <sz val="11"/>
            <color theme="1"/>
            <rFont val="Aptos Narrow"/>
            <family val="2"/>
            <scheme val="minor"/>
          </rPr>
          <t>Introduzca la fecha de inicio del proceso, en formato dd-mm-aaaa</t>
        </r>
      </text>
    </comment>
    <comment ref="F797" authorId="1" shapeId="0" xr:uid="{5D912D8C-23D4-4240-B5E9-0400318C641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98" authorId="1" shapeId="0" xr:uid="{35A5EB2D-F480-4F64-8563-5A2F7A3C6F6C}">
      <text/>
    </comment>
    <comment ref="C799" authorId="1" shapeId="0" xr:uid="{D7CB981D-E73F-4FB8-9C83-46293E0E5890}">
      <text>
        <r>
          <rPr>
            <sz val="11"/>
            <color theme="1"/>
            <rFont val="Aptos Narrow"/>
            <family val="2"/>
            <scheme val="minor"/>
          </rPr>
          <t>Introduzca la fecha prevista de adjudicación, en formato dd-mm-aaaa</t>
        </r>
      </text>
    </comment>
    <comment ref="F799" authorId="1" shapeId="0" xr:uid="{C9CDA0E9-F7EE-402B-A7A9-EFA0A0C9897C}">
      <text/>
    </comment>
    <comment ref="F800" authorId="1" shapeId="0" xr:uid="{CA07E83B-81D6-4762-BF79-B6990769007F}">
      <text/>
    </comment>
    <comment ref="A802" authorId="1" shapeId="0" xr:uid="{5544AFEF-B9E5-4533-8D36-E9F5703020DA}">
      <text>
        <r>
          <rPr>
            <sz val="11"/>
            <color theme="1"/>
            <rFont val="Aptos Narrow"/>
            <family val="2"/>
            <scheme val="minor"/>
          </rPr>
          <t>Introduzca un codigo UNSPSC</t>
        </r>
      </text>
    </comment>
    <comment ref="B802" authorId="1" shapeId="0" xr:uid="{B51DCC93-C01E-4F9E-AEE7-C9C9A5554578}">
      <text>
        <r>
          <rPr>
            <sz val="11"/>
            <color theme="1"/>
            <rFont val="Aptos Narrow"/>
            <family val="2"/>
            <scheme val="minor"/>
          </rPr>
          <t>Descripción calculada automáticamente a partir de código del artículo</t>
        </r>
      </text>
    </comment>
    <comment ref="C802" authorId="1" shapeId="0" xr:uid="{8FDE68CF-FAFF-40EF-A4F9-F10500CE4166}">
      <text>
        <r>
          <rPr>
            <sz val="11"/>
            <color theme="1"/>
            <rFont val="Aptos Narrow"/>
            <family val="2"/>
            <scheme val="minor"/>
          </rPr>
          <t>Seleccione un valor de la lista</t>
        </r>
      </text>
    </comment>
    <comment ref="D802" authorId="1" shapeId="0" xr:uid="{BDE2411D-7958-4F9D-B0EE-6D5553216E6A}">
      <text>
        <r>
          <rPr>
            <sz val="11"/>
            <color theme="1"/>
            <rFont val="Aptos Narrow"/>
            <family val="2"/>
            <scheme val="minor"/>
          </rPr>
          <t>Introduzca un número con dos decimales como máximo. Debe ser igual o mayor a la "Cantidad Real Consumida"</t>
        </r>
      </text>
    </comment>
    <comment ref="E802" authorId="1" shapeId="0" xr:uid="{BB6B8F15-B148-456F-94AD-BC0C3A66B084}">
      <text>
        <r>
          <rPr>
            <sz val="11"/>
            <color theme="1"/>
            <rFont val="Aptos Narrow"/>
            <family val="2"/>
            <scheme val="minor"/>
          </rPr>
          <t>Introduzca un número con dos decimales como máximo</t>
        </r>
      </text>
    </comment>
    <comment ref="F802" authorId="1" shapeId="0" xr:uid="{048445F2-43B7-46B5-BF59-4A942015FAF2}">
      <text>
        <r>
          <rPr>
            <sz val="11"/>
            <color theme="1"/>
            <rFont val="Aptos Narrow"/>
            <family val="2"/>
            <scheme val="minor"/>
          </rPr>
          <t>Monto calculado automáticamente por el sistema</t>
        </r>
      </text>
    </comment>
    <comment ref="A812" authorId="1" shapeId="0" xr:uid="{C7426CE7-F20F-4F8C-9B55-CE799D609820}">
      <text>
        <r>
          <rPr>
            <sz val="11"/>
            <color theme="1"/>
            <rFont val="Aptos Narrow"/>
            <family val="2"/>
            <scheme val="minor"/>
          </rPr>
          <t>Introducir un texto con el nombre o referencia de la contratación</t>
        </r>
      </text>
    </comment>
    <comment ref="B812" authorId="1" shapeId="0" xr:uid="{E288EB27-2FEF-4031-9654-134ADEA82726}">
      <text>
        <r>
          <rPr>
            <sz val="11"/>
            <color theme="1"/>
            <rFont val="Aptos Narrow"/>
            <family val="2"/>
            <scheme val="minor"/>
          </rPr>
          <t>Introduzca un texto con la finalidad de la contratación</t>
        </r>
      </text>
    </comment>
    <comment ref="C812" authorId="1" shapeId="0" xr:uid="{0FDCE852-C6B5-42EF-A7DC-C382B39B22D3}">
      <text>
        <r>
          <rPr>
            <sz val="11"/>
            <color theme="1"/>
            <rFont val="Aptos Narrow"/>
            <family val="2"/>
            <scheme val="minor"/>
          </rPr>
          <t>Seleccionar un valor del listado</t>
        </r>
      </text>
    </comment>
    <comment ref="D812" authorId="1" shapeId="0" xr:uid="{F914496E-33A1-4716-8E02-FA25548525D3}">
      <text>
        <r>
          <rPr>
            <sz val="11"/>
            <color theme="1"/>
            <rFont val="Aptos Narrow"/>
            <family val="2"/>
            <scheme val="minor"/>
          </rPr>
          <t>Seleccione el tipo de procedimiento</t>
        </r>
      </text>
    </comment>
    <comment ref="E812" authorId="1" shapeId="0" xr:uid="{08BED9FE-9F89-4A01-B5C9-29053A546FB5}">
      <text>
        <r>
          <rPr>
            <sz val="11"/>
            <color theme="1"/>
            <rFont val="Aptos Narrow"/>
            <family val="2"/>
            <scheme val="minor"/>
          </rPr>
          <t>Seleccione un valor de la lista</t>
        </r>
      </text>
    </comment>
    <comment ref="F812" authorId="1" shapeId="0" xr:uid="{5749E0B6-096C-43BA-91AD-E966C95BB076}">
      <text>
        <r>
          <rPr>
            <sz val="11"/>
            <color theme="1"/>
            <rFont val="Aptos Narrow"/>
            <family val="2"/>
            <scheme val="minor"/>
          </rPr>
          <t>Introduzca el código SNIP</t>
        </r>
      </text>
    </comment>
    <comment ref="C813" authorId="1" shapeId="0" xr:uid="{91CAD98D-CA71-4E7F-A4D4-505D061D8692}">
      <text>
        <r>
          <rPr>
            <sz val="11"/>
            <color theme="1"/>
            <rFont val="Aptos Narrow"/>
            <family val="2"/>
            <scheme val="minor"/>
          </rPr>
          <t>Introduzca la fecha de inicio del proceso, en formato dd-mm-aaaa</t>
        </r>
      </text>
    </comment>
    <comment ref="F813" authorId="1" shapeId="0" xr:uid="{FB69B40A-F3B3-4F4B-BD3E-200165E30CC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14" authorId="1" shapeId="0" xr:uid="{748D8029-4D98-4B04-A173-0D40D9E4CDAC}">
      <text/>
    </comment>
    <comment ref="C815" authorId="1" shapeId="0" xr:uid="{983EF1B7-E7C2-4CAB-A067-B9E5FFF466B3}">
      <text>
        <r>
          <rPr>
            <sz val="11"/>
            <color theme="1"/>
            <rFont val="Aptos Narrow"/>
            <family val="2"/>
            <scheme val="minor"/>
          </rPr>
          <t>Introduzca la fecha prevista de adjudicación, en formato dd-mm-aaaa</t>
        </r>
      </text>
    </comment>
    <comment ref="F815" authorId="1" shapeId="0" xr:uid="{06645003-6EB2-41BE-801C-58176FFC5F12}">
      <text/>
    </comment>
    <comment ref="F816" authorId="1" shapeId="0" xr:uid="{20BF88EE-32C7-4431-B476-53A0334E3718}">
      <text/>
    </comment>
    <comment ref="A818" authorId="1" shapeId="0" xr:uid="{A0DE1664-4AF5-49F8-96E3-F8A723C1294A}">
      <text>
        <r>
          <rPr>
            <sz val="11"/>
            <color theme="1"/>
            <rFont val="Aptos Narrow"/>
            <family val="2"/>
            <scheme val="minor"/>
          </rPr>
          <t>Introduzca un codigo UNSPSC</t>
        </r>
      </text>
    </comment>
    <comment ref="B818" authorId="1" shapeId="0" xr:uid="{005347BE-8E90-4B95-8565-A7E1DF53B7CD}">
      <text>
        <r>
          <rPr>
            <sz val="11"/>
            <color theme="1"/>
            <rFont val="Aptos Narrow"/>
            <family val="2"/>
            <scheme val="minor"/>
          </rPr>
          <t>Descripción calculada automáticamente a partir de código del artículo</t>
        </r>
      </text>
    </comment>
    <comment ref="C818" authorId="1" shapeId="0" xr:uid="{BE2A5E0F-DA56-48F8-8CEC-27B13D11391C}">
      <text>
        <r>
          <rPr>
            <sz val="11"/>
            <color theme="1"/>
            <rFont val="Aptos Narrow"/>
            <family val="2"/>
            <scheme val="minor"/>
          </rPr>
          <t>Seleccione un valor de la lista</t>
        </r>
      </text>
    </comment>
    <comment ref="D818" authorId="1" shapeId="0" xr:uid="{24D65640-2851-4250-A7F1-4F44CE4C8B61}">
      <text>
        <r>
          <rPr>
            <sz val="11"/>
            <color theme="1"/>
            <rFont val="Aptos Narrow"/>
            <family val="2"/>
            <scheme val="minor"/>
          </rPr>
          <t>Introduzca un número con dos decimales como máximo. Debe ser igual o mayor a la "Cantidad Real Consumida"</t>
        </r>
      </text>
    </comment>
    <comment ref="E818" authorId="1" shapeId="0" xr:uid="{55FD6AA3-6471-4FC9-A297-99F0F5BCD6BF}">
      <text>
        <r>
          <rPr>
            <sz val="11"/>
            <color theme="1"/>
            <rFont val="Aptos Narrow"/>
            <family val="2"/>
            <scheme val="minor"/>
          </rPr>
          <t>Introduzca un número con dos decimales como máximo</t>
        </r>
      </text>
    </comment>
    <comment ref="F818" authorId="1" shapeId="0" xr:uid="{453748FC-2A39-461D-8422-7B796DF32A5B}">
      <text>
        <r>
          <rPr>
            <sz val="11"/>
            <color theme="1"/>
            <rFont val="Aptos Narrow"/>
            <family val="2"/>
            <scheme val="minor"/>
          </rPr>
          <t>Monto calculado automáticamente por el sistema</t>
        </r>
      </text>
    </comment>
    <comment ref="A823" authorId="1" shapeId="0" xr:uid="{9E8EF928-7BE0-4461-9273-33376A169A52}">
      <text>
        <r>
          <rPr>
            <sz val="11"/>
            <color theme="1"/>
            <rFont val="Aptos Narrow"/>
            <family val="2"/>
            <scheme val="minor"/>
          </rPr>
          <t>Introducir un texto con el nombre o referencia de la contratación</t>
        </r>
      </text>
    </comment>
    <comment ref="B823" authorId="1" shapeId="0" xr:uid="{FA94CCA4-27B0-47F2-84DD-AA889D826690}">
      <text>
        <r>
          <rPr>
            <sz val="11"/>
            <color theme="1"/>
            <rFont val="Aptos Narrow"/>
            <family val="2"/>
            <scheme val="minor"/>
          </rPr>
          <t>Introduzca un texto con la finalidad de la contratación</t>
        </r>
      </text>
    </comment>
    <comment ref="C823" authorId="1" shapeId="0" xr:uid="{846B355D-DB5F-4598-A806-CCDA694B2C16}">
      <text>
        <r>
          <rPr>
            <sz val="11"/>
            <color theme="1"/>
            <rFont val="Aptos Narrow"/>
            <family val="2"/>
            <scheme val="minor"/>
          </rPr>
          <t>Seleccionar un valor del listado</t>
        </r>
      </text>
    </comment>
    <comment ref="D823" authorId="1" shapeId="0" xr:uid="{28B3B8D4-5C38-47CF-BD4B-6D830D22E098}">
      <text>
        <r>
          <rPr>
            <sz val="11"/>
            <color theme="1"/>
            <rFont val="Aptos Narrow"/>
            <family val="2"/>
            <scheme val="minor"/>
          </rPr>
          <t>Seleccione el tipo de procedimiento</t>
        </r>
      </text>
    </comment>
    <comment ref="E823" authorId="1" shapeId="0" xr:uid="{82FDFADB-F304-4807-80C9-140FF71B1F49}">
      <text>
        <r>
          <rPr>
            <sz val="11"/>
            <color theme="1"/>
            <rFont val="Aptos Narrow"/>
            <family val="2"/>
            <scheme val="minor"/>
          </rPr>
          <t>Seleccione un valor de la lista</t>
        </r>
      </text>
    </comment>
    <comment ref="F823" authorId="1" shapeId="0" xr:uid="{C7AE6F6E-5D27-406D-AE68-13A877254812}">
      <text>
        <r>
          <rPr>
            <sz val="11"/>
            <color theme="1"/>
            <rFont val="Aptos Narrow"/>
            <family val="2"/>
            <scheme val="minor"/>
          </rPr>
          <t>Introduzca el código SNIP</t>
        </r>
      </text>
    </comment>
    <comment ref="C824" authorId="1" shapeId="0" xr:uid="{3F5179EB-98A4-4003-BC55-105AB5AC73C7}">
      <text>
        <r>
          <rPr>
            <sz val="11"/>
            <color theme="1"/>
            <rFont val="Aptos Narrow"/>
            <family val="2"/>
            <scheme val="minor"/>
          </rPr>
          <t>Introduzca la fecha de inicio del proceso, en formato dd-mm-aaaa</t>
        </r>
      </text>
    </comment>
    <comment ref="F824" authorId="1" shapeId="0" xr:uid="{7604EF60-E4BA-4E99-9050-DFC4B0A86A5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25" authorId="1" shapeId="0" xr:uid="{DDD122CD-A6D1-49B1-B6A3-70041EB74C30}">
      <text/>
    </comment>
    <comment ref="C826" authorId="1" shapeId="0" xr:uid="{069F267E-65AB-4E48-BEF3-54FAB19D09DC}">
      <text>
        <r>
          <rPr>
            <sz val="11"/>
            <color theme="1"/>
            <rFont val="Aptos Narrow"/>
            <family val="2"/>
            <scheme val="minor"/>
          </rPr>
          <t>Introduzca la fecha prevista de adjudicación, en formato dd-mm-aaaa</t>
        </r>
      </text>
    </comment>
    <comment ref="F826" authorId="1" shapeId="0" xr:uid="{CA132922-4384-4116-9C92-0F5D909289C3}">
      <text/>
    </comment>
    <comment ref="F827" authorId="1" shapeId="0" xr:uid="{89DABCAF-7B1F-4896-B894-91CD77AB0D50}">
      <text/>
    </comment>
    <comment ref="A829" authorId="1" shapeId="0" xr:uid="{EFAAEB29-79C2-4F48-B8BB-35DF3736AC84}">
      <text>
        <r>
          <rPr>
            <sz val="11"/>
            <color theme="1"/>
            <rFont val="Aptos Narrow"/>
            <family val="2"/>
            <scheme val="minor"/>
          </rPr>
          <t>Introduzca un codigo UNSPSC</t>
        </r>
      </text>
    </comment>
    <comment ref="B829" authorId="1" shapeId="0" xr:uid="{B6A89639-4525-4DC3-BA83-2FDFC868AE64}">
      <text>
        <r>
          <rPr>
            <sz val="11"/>
            <color theme="1"/>
            <rFont val="Aptos Narrow"/>
            <family val="2"/>
            <scheme val="minor"/>
          </rPr>
          <t>Descripción calculada automáticamente a partir de código del artículo</t>
        </r>
      </text>
    </comment>
    <comment ref="C829" authorId="1" shapeId="0" xr:uid="{84ADA423-8B7C-4C88-9CF2-7B2DA5A58C67}">
      <text>
        <r>
          <rPr>
            <sz val="11"/>
            <color theme="1"/>
            <rFont val="Aptos Narrow"/>
            <family val="2"/>
            <scheme val="minor"/>
          </rPr>
          <t>Seleccione un valor de la lista</t>
        </r>
      </text>
    </comment>
    <comment ref="D829" authorId="1" shapeId="0" xr:uid="{C469732F-8939-4A6B-A5C2-C1FD4AB07D2B}">
      <text>
        <r>
          <rPr>
            <sz val="11"/>
            <color theme="1"/>
            <rFont val="Aptos Narrow"/>
            <family val="2"/>
            <scheme val="minor"/>
          </rPr>
          <t>Introduzca un número con dos decimales como máximo. Debe ser igual o mayor a la "Cantidad Real Consumida"</t>
        </r>
      </text>
    </comment>
    <comment ref="E829" authorId="1" shapeId="0" xr:uid="{64CAF657-B4E7-4AD0-B67D-AD8CDEEB1AF5}">
      <text>
        <r>
          <rPr>
            <sz val="11"/>
            <color theme="1"/>
            <rFont val="Aptos Narrow"/>
            <family val="2"/>
            <scheme val="minor"/>
          </rPr>
          <t>Introduzca un número con dos decimales como máximo</t>
        </r>
      </text>
    </comment>
    <comment ref="F829" authorId="1" shapeId="0" xr:uid="{12B4F261-D53E-457F-BFA0-5BE6CC8C10C8}">
      <text>
        <r>
          <rPr>
            <sz val="11"/>
            <color theme="1"/>
            <rFont val="Aptos Narrow"/>
            <family val="2"/>
            <scheme val="minor"/>
          </rPr>
          <t>Monto calculado automáticamente por el sistema</t>
        </r>
      </text>
    </comment>
    <comment ref="A834" authorId="1" shapeId="0" xr:uid="{69C8906C-5B01-48AA-AC6C-D69B43066ED2}">
      <text>
        <r>
          <rPr>
            <sz val="11"/>
            <color theme="1"/>
            <rFont val="Aptos Narrow"/>
            <family val="2"/>
            <scheme val="minor"/>
          </rPr>
          <t>Introducir un texto con el nombre o referencia de la contratación</t>
        </r>
      </text>
    </comment>
    <comment ref="B834" authorId="1" shapeId="0" xr:uid="{BB8E1975-773D-410C-92F8-CB181B470F2B}">
      <text>
        <r>
          <rPr>
            <sz val="11"/>
            <color theme="1"/>
            <rFont val="Aptos Narrow"/>
            <family val="2"/>
            <scheme val="minor"/>
          </rPr>
          <t>Introduzca un texto con la finalidad de la contratación</t>
        </r>
      </text>
    </comment>
    <comment ref="C834" authorId="1" shapeId="0" xr:uid="{CCE1B01F-1AFD-46B6-AE6C-7B1E0D1C0D82}">
      <text>
        <r>
          <rPr>
            <sz val="11"/>
            <color theme="1"/>
            <rFont val="Aptos Narrow"/>
            <family val="2"/>
            <scheme val="minor"/>
          </rPr>
          <t>Seleccionar un valor del listado</t>
        </r>
      </text>
    </comment>
    <comment ref="D834" authorId="1" shapeId="0" xr:uid="{02988C8E-5F30-4C1B-B853-E9266AB55B4A}">
      <text>
        <r>
          <rPr>
            <sz val="11"/>
            <color theme="1"/>
            <rFont val="Aptos Narrow"/>
            <family val="2"/>
            <scheme val="minor"/>
          </rPr>
          <t>Seleccione el tipo de procedimiento</t>
        </r>
      </text>
    </comment>
    <comment ref="E834" authorId="1" shapeId="0" xr:uid="{EFB8F9C6-E495-4566-9F77-76E1D7F0E633}">
      <text>
        <r>
          <rPr>
            <sz val="11"/>
            <color theme="1"/>
            <rFont val="Aptos Narrow"/>
            <family val="2"/>
            <scheme val="minor"/>
          </rPr>
          <t>Seleccione un valor de la lista</t>
        </r>
      </text>
    </comment>
    <comment ref="F834" authorId="1" shapeId="0" xr:uid="{A83A1341-54F0-44FA-85F7-0ECC82F48429}">
      <text>
        <r>
          <rPr>
            <sz val="11"/>
            <color theme="1"/>
            <rFont val="Aptos Narrow"/>
            <family val="2"/>
            <scheme val="minor"/>
          </rPr>
          <t>Introduzca el código SNIP</t>
        </r>
      </text>
    </comment>
    <comment ref="C835" authorId="1" shapeId="0" xr:uid="{F4A675F7-3AFF-4202-91D1-AD3D8C8C2C0A}">
      <text>
        <r>
          <rPr>
            <sz val="11"/>
            <color theme="1"/>
            <rFont val="Aptos Narrow"/>
            <family val="2"/>
            <scheme val="minor"/>
          </rPr>
          <t>Introduzca la fecha de inicio del proceso, en formato dd-mm-aaaa</t>
        </r>
      </text>
    </comment>
    <comment ref="F835" authorId="1" shapeId="0" xr:uid="{360A505A-C1E5-43EF-BC86-72AC7D57A29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36" authorId="1" shapeId="0" xr:uid="{FF7CFF69-62BB-4A25-9AF7-046AF4B86B58}">
      <text/>
    </comment>
    <comment ref="C837" authorId="1" shapeId="0" xr:uid="{2EA06F21-87F8-45D7-9BAD-5C22EAFE8822}">
      <text>
        <r>
          <rPr>
            <sz val="11"/>
            <color theme="1"/>
            <rFont val="Aptos Narrow"/>
            <family val="2"/>
            <scheme val="minor"/>
          </rPr>
          <t>Introduzca la fecha prevista de adjudicación, en formato dd-mm-aaaa</t>
        </r>
      </text>
    </comment>
    <comment ref="F837" authorId="1" shapeId="0" xr:uid="{02A741D3-8888-4DB0-A500-B5ACE3D68A07}">
      <text/>
    </comment>
    <comment ref="F838" authorId="1" shapeId="0" xr:uid="{18769F69-0128-4918-8EDF-7444C3B6AA73}">
      <text/>
    </comment>
    <comment ref="A840" authorId="1" shapeId="0" xr:uid="{A4281B44-4E1D-49AF-8D40-FDD8B0739F9A}">
      <text>
        <r>
          <rPr>
            <sz val="11"/>
            <color theme="1"/>
            <rFont val="Aptos Narrow"/>
            <family val="2"/>
            <scheme val="minor"/>
          </rPr>
          <t>Introduzca un codigo UNSPSC</t>
        </r>
      </text>
    </comment>
    <comment ref="B840" authorId="1" shapeId="0" xr:uid="{CF84AD5D-FA44-4A6C-8828-2AC91D93E3F7}">
      <text>
        <r>
          <rPr>
            <sz val="11"/>
            <color theme="1"/>
            <rFont val="Aptos Narrow"/>
            <family val="2"/>
            <scheme val="minor"/>
          </rPr>
          <t>Descripción calculada automáticamente a partir de código del artículo</t>
        </r>
      </text>
    </comment>
    <comment ref="C840" authorId="1" shapeId="0" xr:uid="{FB313FB2-EDDE-4BF8-9C18-EAFFA6DE73DD}">
      <text>
        <r>
          <rPr>
            <sz val="11"/>
            <color theme="1"/>
            <rFont val="Aptos Narrow"/>
            <family val="2"/>
            <scheme val="minor"/>
          </rPr>
          <t>Seleccione un valor de la lista</t>
        </r>
      </text>
    </comment>
    <comment ref="D840" authorId="1" shapeId="0" xr:uid="{27F2AE8E-BA79-4841-B3E5-BAE38C18B0CB}">
      <text>
        <r>
          <rPr>
            <sz val="11"/>
            <color theme="1"/>
            <rFont val="Aptos Narrow"/>
            <family val="2"/>
            <scheme val="minor"/>
          </rPr>
          <t>Introduzca un número con dos decimales como máximo. Debe ser igual o mayor a la "Cantidad Real Consumida"</t>
        </r>
      </text>
    </comment>
    <comment ref="E840" authorId="1" shapeId="0" xr:uid="{8CE6A20E-EC6E-45EE-AC5F-CD7407F53646}">
      <text>
        <r>
          <rPr>
            <sz val="11"/>
            <color theme="1"/>
            <rFont val="Aptos Narrow"/>
            <family val="2"/>
            <scheme val="minor"/>
          </rPr>
          <t>Introduzca un número con dos decimales como máximo</t>
        </r>
      </text>
    </comment>
    <comment ref="F840" authorId="1" shapeId="0" xr:uid="{1535A195-938D-4F69-8D27-028EE1766CF2}">
      <text>
        <r>
          <rPr>
            <sz val="11"/>
            <color theme="1"/>
            <rFont val="Aptos Narrow"/>
            <family val="2"/>
            <scheme val="minor"/>
          </rPr>
          <t>Monto calculado automáticamente por el sistema</t>
        </r>
      </text>
    </comment>
    <comment ref="A858" authorId="1" shapeId="0" xr:uid="{53772CC9-EA12-4A65-8509-D6CCE5F40D75}">
      <text>
        <r>
          <rPr>
            <sz val="11"/>
            <color theme="1"/>
            <rFont val="Aptos Narrow"/>
            <family val="2"/>
            <scheme val="minor"/>
          </rPr>
          <t>Introducir un texto con el nombre o referencia de la contratación</t>
        </r>
      </text>
    </comment>
    <comment ref="B858" authorId="1" shapeId="0" xr:uid="{6A033113-82B4-4878-8094-6F9D5E85504B}">
      <text>
        <r>
          <rPr>
            <sz val="11"/>
            <color theme="1"/>
            <rFont val="Aptos Narrow"/>
            <family val="2"/>
            <scheme val="minor"/>
          </rPr>
          <t>Introduzca un texto con la finalidad de la contratación</t>
        </r>
      </text>
    </comment>
    <comment ref="C858" authorId="1" shapeId="0" xr:uid="{FBBF262D-DA94-4F8F-B514-00B91674C9A4}">
      <text>
        <r>
          <rPr>
            <sz val="11"/>
            <color theme="1"/>
            <rFont val="Aptos Narrow"/>
            <family val="2"/>
            <scheme val="minor"/>
          </rPr>
          <t>Seleccionar un valor del listado</t>
        </r>
      </text>
    </comment>
    <comment ref="D858" authorId="1" shapeId="0" xr:uid="{D52B967E-4480-4F47-B513-38E09543803C}">
      <text>
        <r>
          <rPr>
            <sz val="11"/>
            <color theme="1"/>
            <rFont val="Aptos Narrow"/>
            <family val="2"/>
            <scheme val="minor"/>
          </rPr>
          <t>Seleccione el tipo de procedimiento</t>
        </r>
      </text>
    </comment>
    <comment ref="E858" authorId="1" shapeId="0" xr:uid="{B5D7D48C-5B97-41CB-86B9-69AB68342A0A}">
      <text>
        <r>
          <rPr>
            <sz val="11"/>
            <color theme="1"/>
            <rFont val="Aptos Narrow"/>
            <family val="2"/>
            <scheme val="minor"/>
          </rPr>
          <t>Seleccione un valor de la lista</t>
        </r>
      </text>
    </comment>
    <comment ref="F858" authorId="1" shapeId="0" xr:uid="{9F6680A8-AF12-4BDA-B78E-E4D43A53BFBA}">
      <text>
        <r>
          <rPr>
            <sz val="11"/>
            <color theme="1"/>
            <rFont val="Aptos Narrow"/>
            <family val="2"/>
            <scheme val="minor"/>
          </rPr>
          <t>Introduzca el código SNIP</t>
        </r>
      </text>
    </comment>
    <comment ref="C859" authorId="1" shapeId="0" xr:uid="{97B5375D-176B-4DAF-899D-AABC9CB42BC2}">
      <text>
        <r>
          <rPr>
            <sz val="11"/>
            <color theme="1"/>
            <rFont val="Aptos Narrow"/>
            <family val="2"/>
            <scheme val="minor"/>
          </rPr>
          <t>Introduzca la fecha de inicio del proceso, en formato dd-mm-aaaa</t>
        </r>
      </text>
    </comment>
    <comment ref="F859" authorId="1" shapeId="0" xr:uid="{6A197448-76F8-45FE-8E43-DFC0FE5BDBF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60" authorId="1" shapeId="0" xr:uid="{A71CDF44-FF0B-443B-8CEA-67EB3DAC68F1}">
      <text/>
    </comment>
    <comment ref="C861" authorId="1" shapeId="0" xr:uid="{45194CC5-A4EB-4DB2-B6DA-A5AF79D7F0EF}">
      <text>
        <r>
          <rPr>
            <sz val="11"/>
            <color theme="1"/>
            <rFont val="Aptos Narrow"/>
            <family val="2"/>
            <scheme val="minor"/>
          </rPr>
          <t>Introduzca la fecha prevista de adjudicación, en formato dd-mm-aaaa</t>
        </r>
      </text>
    </comment>
    <comment ref="F861" authorId="1" shapeId="0" xr:uid="{28C8CE0F-D676-49A5-BCC5-D54703D9F8D1}">
      <text/>
    </comment>
    <comment ref="F862" authorId="1" shapeId="0" xr:uid="{7C0BB592-656C-4366-9F34-941F59FAE1E8}">
      <text/>
    </comment>
    <comment ref="A864" authorId="1" shapeId="0" xr:uid="{0E9B73DA-487F-4734-8EAA-78651BE72C45}">
      <text>
        <r>
          <rPr>
            <sz val="11"/>
            <color theme="1"/>
            <rFont val="Aptos Narrow"/>
            <family val="2"/>
            <scheme val="minor"/>
          </rPr>
          <t>Introduzca un codigo UNSPSC</t>
        </r>
      </text>
    </comment>
    <comment ref="B864" authorId="1" shapeId="0" xr:uid="{0A493AB2-158B-4AB6-A093-D2F64FE9C017}">
      <text>
        <r>
          <rPr>
            <sz val="11"/>
            <color theme="1"/>
            <rFont val="Aptos Narrow"/>
            <family val="2"/>
            <scheme val="minor"/>
          </rPr>
          <t>Descripción calculada automáticamente a partir de código del artículo</t>
        </r>
      </text>
    </comment>
    <comment ref="C864" authorId="1" shapeId="0" xr:uid="{7FAC6DC2-16AE-4B6C-9556-7FC0B9E52705}">
      <text>
        <r>
          <rPr>
            <sz val="11"/>
            <color theme="1"/>
            <rFont val="Aptos Narrow"/>
            <family val="2"/>
            <scheme val="minor"/>
          </rPr>
          <t>Seleccione un valor de la lista</t>
        </r>
      </text>
    </comment>
    <comment ref="D864" authorId="1" shapeId="0" xr:uid="{F6095884-D0AC-4CDC-85C6-B707446ECDDE}">
      <text>
        <r>
          <rPr>
            <sz val="11"/>
            <color theme="1"/>
            <rFont val="Aptos Narrow"/>
            <family val="2"/>
            <scheme val="minor"/>
          </rPr>
          <t>Introduzca un número con dos decimales como máximo. Debe ser igual o mayor a la "Cantidad Real Consumida"</t>
        </r>
      </text>
    </comment>
    <comment ref="E864" authorId="1" shapeId="0" xr:uid="{C6BDD145-90B8-44CD-A19D-6CDA317FBB88}">
      <text>
        <r>
          <rPr>
            <sz val="11"/>
            <color theme="1"/>
            <rFont val="Aptos Narrow"/>
            <family val="2"/>
            <scheme val="minor"/>
          </rPr>
          <t>Introduzca un número con dos decimales como máximo</t>
        </r>
      </text>
    </comment>
    <comment ref="F864" authorId="1" shapeId="0" xr:uid="{61CE7947-33FF-41C6-BE81-4DD96F38554B}">
      <text>
        <r>
          <rPr>
            <sz val="11"/>
            <color theme="1"/>
            <rFont val="Aptos Narrow"/>
            <family val="2"/>
            <scheme val="minor"/>
          </rPr>
          <t>Monto calculado automáticamente por el sistema</t>
        </r>
      </text>
    </comment>
  </commentList>
</comments>
</file>

<file path=xl/sharedStrings.xml><?xml version="1.0" encoding="utf-8"?>
<sst xmlns="http://schemas.openxmlformats.org/spreadsheetml/2006/main" count="2035" uniqueCount="272">
  <si>
    <t xml:space="preserve">PLAN ANUAL DE COMPRAS Y CONTRATACIONES 
</t>
  </si>
  <si>
    <t>SNCC.F.069</t>
  </si>
  <si>
    <t xml:space="preserve">Capítulo </t>
  </si>
  <si>
    <t>0220</t>
  </si>
  <si>
    <t>Version: 1.0.0</t>
  </si>
  <si>
    <t>Sub Capítulo</t>
  </si>
  <si>
    <t>01</t>
  </si>
  <si>
    <t>Unidad Ejecutora</t>
  </si>
  <si>
    <t>0018</t>
  </si>
  <si>
    <t>Cantidad Procesos Registrados</t>
  </si>
  <si>
    <t xml:space="preserve">Unidad de Compra </t>
  </si>
  <si>
    <t>Sistema Unico de Beneficiarios (SIUBEN)</t>
  </si>
  <si>
    <t>Monto Estimado Total</t>
  </si>
  <si>
    <t>Código de la Unidad de Compra</t>
  </si>
  <si>
    <t>000195</t>
  </si>
  <si>
    <t xml:space="preserve">Año Fiscal </t>
  </si>
  <si>
    <t>2025</t>
  </si>
  <si>
    <t>Fecha Aprobación</t>
  </si>
  <si>
    <t/>
  </si>
  <si>
    <t>NOMBRE O REFERENCIA DE CONTRATACIÓN</t>
  </si>
  <si>
    <t>FINALIDAD DE LA CONTRATACIÓN</t>
  </si>
  <si>
    <t>OBJETO DE CONTRATACIÓN</t>
  </si>
  <si>
    <t>PROCEDIMIENTO DE SELECCIÓN</t>
  </si>
  <si>
    <t>DESTINADO A MIPYMES</t>
  </si>
  <si>
    <t>CÓDIGO SNIP</t>
  </si>
  <si>
    <t>Servicio de mantenimiento del banco de transformación y sistemas de tensión media</t>
  </si>
  <si>
    <t>Servicios</t>
  </si>
  <si>
    <t>Compras por debajo del Umbral</t>
  </si>
  <si>
    <t>MIPYME Mujeres</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</si>
  <si>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</si>
  <si>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</si>
  <si>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</si>
  <si>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</si>
  <si>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</si>
  <si>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</si>
  <si>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</si>
  <si>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</si>
  <si>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</si>
  <si>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</si>
  <si>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</si>
  <si>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</si>
  <si>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</si>
  <si>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</si>
  <si>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</si>
  <si>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</si>
  <si>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</si>
  <si>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72102201</t>
  </si>
  <si>
    <t>TOTAL COMPRA ESTIMADA</t>
  </si>
  <si>
    <t>Servicio de pulido de pisos y lavado de alfombras (Compra Verde)</t>
  </si>
  <si>
    <t>Sí</t>
  </si>
  <si>
    <t>76111604</t>
  </si>
  <si>
    <t>Servicio de renovación de licencias utilizadas por el departamento de Comunicaciones</t>
  </si>
  <si>
    <t>No</t>
  </si>
  <si>
    <t>81112501</t>
  </si>
  <si>
    <t>Compra de materiales para uso de mantenimiento informáticos</t>
  </si>
  <si>
    <t>Bienes</t>
  </si>
  <si>
    <t>44102912</t>
  </si>
  <si>
    <t>Compra de componentes para mantenimientos informáticos</t>
  </si>
  <si>
    <t>43201803</t>
  </si>
  <si>
    <t>26121609</t>
  </si>
  <si>
    <t>26121630</t>
  </si>
  <si>
    <t>Contratación para suministro de almuerzos y cenas vía plataforma digital para personal subsidiado (Compra Verde)</t>
  </si>
  <si>
    <t>Compras Menores</t>
  </si>
  <si>
    <t>90101604</t>
  </si>
  <si>
    <t>Suministros para el día de las madres y secretarias</t>
  </si>
  <si>
    <t>44111510</t>
  </si>
  <si>
    <t>53131629</t>
  </si>
  <si>
    <t>Servicio de capacitación del 2do. trimestre</t>
  </si>
  <si>
    <t>86101705</t>
  </si>
  <si>
    <t>86101802</t>
  </si>
  <si>
    <t>Servicio de capacitación del 3er. trimestre</t>
  </si>
  <si>
    <t>Contratación para la renovación de alquileres de locales y alquiler de nuevos locales para oficinas regionales y oficina principal SIUBEN</t>
  </si>
  <si>
    <t>Excepción - Proveedor Único</t>
  </si>
  <si>
    <t>80131502</t>
  </si>
  <si>
    <t>Contratación para suministro de almuerzos y cenas vía plataforma digital para personal subsidiado (Compra Verde) 4to. trimestre</t>
  </si>
  <si>
    <t>90101802</t>
  </si>
  <si>
    <t>Contratación para servicio de fumigación 2do. trimiestre (Compra Verde)</t>
  </si>
  <si>
    <t>72102103</t>
  </si>
  <si>
    <t>Compra de combustible para operatividad de las oficinas SIUBEN (Adm) 2do. Trimestre</t>
  </si>
  <si>
    <t>15101506</t>
  </si>
  <si>
    <t>15101702</t>
  </si>
  <si>
    <t>Compra de agua de consumo humano para la oficina principal 2do. trimestre</t>
  </si>
  <si>
    <t>50202301</t>
  </si>
  <si>
    <t>Adquisición de insumos de limpieza (1er trimestre)</t>
  </si>
  <si>
    <t>14111703</t>
  </si>
  <si>
    <t>47131816</t>
  </si>
  <si>
    <t>47131803</t>
  </si>
  <si>
    <t>46181504</t>
  </si>
  <si>
    <t>14111705</t>
  </si>
  <si>
    <t>47131602</t>
  </si>
  <si>
    <t>47131821</t>
  </si>
  <si>
    <t>Adquisición de vasos biodegradables (1er trimestre)</t>
  </si>
  <si>
    <t>52151504</t>
  </si>
  <si>
    <t>Adquisición de material gastable (1er trimestre)</t>
  </si>
  <si>
    <t>31201512</t>
  </si>
  <si>
    <t>44121701</t>
  </si>
  <si>
    <t>14111526</t>
  </si>
  <si>
    <t>14111530</t>
  </si>
  <si>
    <t>44122011</t>
  </si>
  <si>
    <t>Adquisición de insumos de cocina (alimentos y bebidas) (1er trimestre)</t>
  </si>
  <si>
    <t>50201711</t>
  </si>
  <si>
    <t>50201714</t>
  </si>
  <si>
    <t>50161510</t>
  </si>
  <si>
    <t>Adquisición de termostato (1er trimestre)</t>
  </si>
  <si>
    <t>39121549</t>
  </si>
  <si>
    <t>Compra de liciencia de Software de MindManager para uso de la institución</t>
  </si>
  <si>
    <t>43232801</t>
  </si>
  <si>
    <t>Suministros para el día de los padres</t>
  </si>
  <si>
    <t>Servicio de renovación de licencias firewall por un (1) año</t>
  </si>
  <si>
    <t>Compra de materiales para reubicación de oficinas en la principal y en la Regional Cibao Norte</t>
  </si>
  <si>
    <t>39121205</t>
  </si>
  <si>
    <t>39121409</t>
  </si>
  <si>
    <t>39121310</t>
  </si>
  <si>
    <t>39121435</t>
  </si>
  <si>
    <t>39121402</t>
  </si>
  <si>
    <t>31161509</t>
  </si>
  <si>
    <t>31231302</t>
  </si>
  <si>
    <t>40151610</t>
  </si>
  <si>
    <t>39121721</t>
  </si>
  <si>
    <t>26111706</t>
  </si>
  <si>
    <t>30111601</t>
  </si>
  <si>
    <t>Adquisición de neumaticos para la flotilla vehicular de las oficinas principal y oficinas regional 2do Trimestre</t>
  </si>
  <si>
    <t>25172504</t>
  </si>
  <si>
    <t>25172512</t>
  </si>
  <si>
    <t>Adquisición de baterías para operatividad de la planta de la oficina principal 2do trimestre</t>
  </si>
  <si>
    <t>26111707</t>
  </si>
  <si>
    <t>26111703</t>
  </si>
  <si>
    <t>Contratación para servicios de catering para diferentes actividades de la institución</t>
  </si>
  <si>
    <t>Compra de nevera para uso de oficina regional</t>
  </si>
  <si>
    <t>52141501</t>
  </si>
  <si>
    <t xml:space="preserve">Servicio de transporte para diferentes traslados </t>
  </si>
  <si>
    <t>78101802</t>
  </si>
  <si>
    <t>78111808</t>
  </si>
  <si>
    <t>Compra de repuestos y suministros para uso de la Institución, destinado a empresas Mipymes (Segundo Trimestre)</t>
  </si>
  <si>
    <t>Compra de repuestos y suministros para uso de la Institución, destinado a empresas Mipymes    (Segundo Trimestre)</t>
  </si>
  <si>
    <t>25173817</t>
  </si>
  <si>
    <t>25174004</t>
  </si>
  <si>
    <t>25174209</t>
  </si>
  <si>
    <t>26101726</t>
  </si>
  <si>
    <t>26111726</t>
  </si>
  <si>
    <t>26121629</t>
  </si>
  <si>
    <t>Adquisición de material gastable (Limpieza) para la oficina principal del SIUBEN destinado a compras verde</t>
  </si>
  <si>
    <t>14111704</t>
  </si>
  <si>
    <t>47121701</t>
  </si>
  <si>
    <t>53131608</t>
  </si>
  <si>
    <t>47131811</t>
  </si>
  <si>
    <t>12352104</t>
  </si>
  <si>
    <t>Adquisición de alimentos y bebidas (segundo trimestre)</t>
  </si>
  <si>
    <t>Adquisición de alimentos y bebidas  (segundo trimestre)</t>
  </si>
  <si>
    <t>Santo Domingo</t>
  </si>
  <si>
    <t>50201709</t>
  </si>
  <si>
    <t>50161509</t>
  </si>
  <si>
    <t>Adquisición de material gastable (segundo trimestre) (compras verdes)</t>
  </si>
  <si>
    <t>14111507</t>
  </si>
  <si>
    <t>Adquisición de insumos de cocina (vasos biodegradables) (compras verdes)</t>
  </si>
  <si>
    <t>Compra de alfombra para entrada en la oficina principal</t>
  </si>
  <si>
    <t>52101502</t>
  </si>
  <si>
    <t>Compra e instalación de cristal frontal de nuevo local</t>
  </si>
  <si>
    <t>30171705</t>
  </si>
  <si>
    <t>Servicio de fumigación para la oficina principal y regionales (Adm) (Compras Verdes)</t>
  </si>
  <si>
    <t>Servicio de mantenimiento de las plantas eléctricas de la institución (Compras Verdes)</t>
  </si>
  <si>
    <t>72101517</t>
  </si>
  <si>
    <t>Servicio de alquiler de impresoras para operatividad oficinas siuben (Adm) (Compra Verde)</t>
  </si>
  <si>
    <t>43212105</t>
  </si>
  <si>
    <t>Compra de combustible para operatividad de las oficinas SIUBEN (Adm)</t>
  </si>
  <si>
    <t>Compra de agua de consumo humano para la oficina principal (Compras Verdes)</t>
  </si>
  <si>
    <t>Compra de material gastable para la oficina principal y regionales ADM (Compra Verde)</t>
  </si>
  <si>
    <t>44122003</t>
  </si>
  <si>
    <t>44121706</t>
  </si>
  <si>
    <t>44121804</t>
  </si>
  <si>
    <t>44111808</t>
  </si>
  <si>
    <t>44121615</t>
  </si>
  <si>
    <t>44121619</t>
  </si>
  <si>
    <t>Compra de suministros de limpieza e higiene para uso de institución (Compras Verdes)</t>
  </si>
  <si>
    <t>47131604</t>
  </si>
  <si>
    <t>47131805</t>
  </si>
  <si>
    <t>47131603</t>
  </si>
  <si>
    <t>47131810</t>
  </si>
  <si>
    <t>47121702</t>
  </si>
  <si>
    <t>Compra de insumos de cocina (Alimentos y bebidas)</t>
  </si>
  <si>
    <t>50161814</t>
  </si>
  <si>
    <t>Servicio de lavandería para manteles de la institución</t>
  </si>
  <si>
    <t>91111502</t>
  </si>
  <si>
    <t>Servicio de mantenimiento preventivo de vehículos y motores (Compra Verde)</t>
  </si>
  <si>
    <t>78180107</t>
  </si>
  <si>
    <t>Compra de materiales para reparaciones de la institución</t>
  </si>
  <si>
    <t>12352310</t>
  </si>
  <si>
    <t>13111056</t>
  </si>
  <si>
    <t>15121508</t>
  </si>
  <si>
    <t>15121806</t>
  </si>
  <si>
    <t>23131507</t>
  </si>
  <si>
    <t>27111507</t>
  </si>
  <si>
    <t>27111509</t>
  </si>
  <si>
    <t>27111701</t>
  </si>
  <si>
    <t>27112001</t>
  </si>
  <si>
    <t>27112504</t>
  </si>
  <si>
    <t>27112703</t>
  </si>
  <si>
    <t>27112802</t>
  </si>
  <si>
    <t>30102404</t>
  </si>
  <si>
    <t>30103206</t>
  </si>
  <si>
    <t>30171514</t>
  </si>
  <si>
    <t>30181513</t>
  </si>
  <si>
    <t>31162402</t>
  </si>
  <si>
    <t>31201513</t>
  </si>
  <si>
    <t>31201514</t>
  </si>
  <si>
    <t>31201520</t>
  </si>
  <si>
    <t>31201522</t>
  </si>
  <si>
    <t>31201606</t>
  </si>
  <si>
    <t>32141107</t>
  </si>
  <si>
    <t>39101603</t>
  </si>
  <si>
    <t>39101628</t>
  </si>
  <si>
    <t>39111521</t>
  </si>
  <si>
    <t>39121009</t>
  </si>
  <si>
    <t>39121306</t>
  </si>
  <si>
    <t>39121405</t>
  </si>
  <si>
    <t>39121406</t>
  </si>
  <si>
    <t>39121522</t>
  </si>
  <si>
    <t>39121529</t>
  </si>
  <si>
    <t>39121540</t>
  </si>
  <si>
    <t>40141610</t>
  </si>
  <si>
    <t>40141702</t>
  </si>
  <si>
    <t>40141716</t>
  </si>
  <si>
    <t>40151607</t>
  </si>
  <si>
    <t>46171501</t>
  </si>
  <si>
    <t>47131705</t>
  </si>
  <si>
    <t>47131807</t>
  </si>
  <si>
    <t>Compra de banderas institucionales y nacionales para uso de la institución</t>
  </si>
  <si>
    <t>55121715</t>
  </si>
  <si>
    <t>Compra de batería para diferentes usos en la institución, 3er. trimestre</t>
  </si>
  <si>
    <t>Compra de batería para las planta eléctrica diferentes usos en la institución,3er. trimestre</t>
  </si>
  <si>
    <t xml:space="preserve">Contratación para Servicios de mantenimientos y reparación a equipos de la institución (Compra Verde) </t>
  </si>
  <si>
    <t>72101511</t>
  </si>
  <si>
    <t>Compra de pintura para uso en oficinas SIUBEN (Adm), destinado a empresas Mipymes, Compras Verdes. (Segundo Trimestre)</t>
  </si>
  <si>
    <t xml:space="preserve">Compra de pintura para uso en oficinas SIUBEN (Adm), destinado a empresas Mipymes, Compras Verdes. (Segundo Trimestre) </t>
  </si>
  <si>
    <t>31211501</t>
  </si>
  <si>
    <t>31211502</t>
  </si>
  <si>
    <t>31211506</t>
  </si>
  <si>
    <t>31211508</t>
  </si>
  <si>
    <t>31211509</t>
  </si>
  <si>
    <t>31211904</t>
  </si>
  <si>
    <t>31211917</t>
  </si>
  <si>
    <t>Compras de gomas para la flotilla vehicular de la institución</t>
  </si>
  <si>
    <t>Compra de electrodomésticos para diferentes oficinas de la institución</t>
  </si>
  <si>
    <t>52141502</t>
  </si>
  <si>
    <t>52141506</t>
  </si>
  <si>
    <t>52141525</t>
  </si>
  <si>
    <t>40101701</t>
  </si>
  <si>
    <t>52161505</t>
  </si>
  <si>
    <t>52141509</t>
  </si>
  <si>
    <t>Servicio de mantenimiento para los extintores</t>
  </si>
  <si>
    <t>73152002</t>
  </si>
  <si>
    <t>Compra de auriculares para uso de diferentes departamentos</t>
  </si>
  <si>
    <t>43191606</t>
  </si>
  <si>
    <t>Compra de artículos para la cocina de la oficina principal</t>
  </si>
  <si>
    <t>52152006</t>
  </si>
  <si>
    <t>52151703</t>
  </si>
  <si>
    <t>52151704</t>
  </si>
  <si>
    <t>52152004</t>
  </si>
  <si>
    <t>52151616</t>
  </si>
  <si>
    <t>52151611</t>
  </si>
  <si>
    <t>52151602</t>
  </si>
  <si>
    <t>52152008</t>
  </si>
  <si>
    <t>52152010</t>
  </si>
  <si>
    <t>52152102</t>
  </si>
  <si>
    <t>52152104</t>
  </si>
  <si>
    <t>52152101</t>
  </si>
  <si>
    <t>Compra de impresora para impresión de carnet y suministros</t>
  </si>
  <si>
    <t>44102403</t>
  </si>
  <si>
    <t>44103103</t>
  </si>
  <si>
    <t>55121802</t>
  </si>
  <si>
    <t>Licda. Paula Guillen</t>
  </si>
  <si>
    <t>Encargada de Compras y Contrataciones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</si>
</sst>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2" x14ac:knownFonts="1">
    <font>
      <sz val="11"/>
      <color theme="1"/>
      <name val="Aptos Narrow"/>
      <family val="2"/>
      <scheme val="minor"/>
    </font>
    <font>
      <sz val="14"/>
      <color theme="1"/>
      <name val="Calibri"/>
      <family val="2"/>
    </font>
    <font>
      <sz val="9"/>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Aptos Narrow"/>
      <family val="2"/>
      <scheme val="minor"/>
    </font>
    <font>
      <sz val="8"/>
      <color theme="1"/>
      <name val="Aptos Narrow"/>
      <family val="2"/>
      <scheme val="minor"/>
    </font>
    <font>
      <b/>
      <sz val="9"/>
      <name val="Tahoma"/>
      <family val="2"/>
    </font>
    <font>
      <sz val="12"/>
      <color theme="1"/>
      <name val="Gotham"/>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0">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4">
    <xf numFmtId="0" fontId="0" fillId="0" borderId="0"/>
    <xf numFmtId="0" fontId="8" fillId="6" borderId="6">
      <alignment horizontal="center" vertical="center" wrapText="1"/>
    </xf>
    <xf numFmtId="0" fontId="8" fillId="0" borderId="6">
      <alignment horizontal="center" vertical="center"/>
    </xf>
    <xf numFmtId="0" fontId="8" fillId="6" borderId="6">
      <alignment horizontal="center" vertical="center" textRotation="90" wrapText="1"/>
    </xf>
    <xf numFmtId="0" fontId="8" fillId="7" borderId="6">
      <alignment horizontal="center" vertical="center"/>
    </xf>
    <xf numFmtId="166" fontId="8" fillId="0" borderId="6">
      <alignment horizontal="center" vertical="center"/>
    </xf>
    <xf numFmtId="0" fontId="8" fillId="7" borderId="6">
      <alignment horizontal="center" vertical="center"/>
    </xf>
    <xf numFmtId="0" fontId="8" fillId="0" borderId="6">
      <alignment horizontal="left" vertical="center"/>
    </xf>
    <xf numFmtId="0" fontId="8" fillId="0" borderId="6">
      <alignment horizontal="center" vertical="center"/>
    </xf>
    <xf numFmtId="0" fontId="8" fillId="8" borderId="6">
      <alignment horizontal="center" vertical="center"/>
    </xf>
    <xf numFmtId="0" fontId="9" fillId="9" borderId="8">
      <alignment horizontal="center" vertical="center"/>
    </xf>
    <xf numFmtId="0" fontId="9" fillId="9" borderId="8">
      <alignment horizontal="center" vertical="center" wrapText="1"/>
    </xf>
    <xf numFmtId="0" fontId="9" fillId="9" borderId="8">
      <alignment horizontal="left" vertical="center"/>
    </xf>
    <xf numFmtId="167" fontId="9" fillId="9" borderId="8">
      <alignment horizontal="center" vertical="center"/>
    </xf>
  </cellStyleXfs>
  <cellXfs count="50">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center"/>
      <protection hidden="1"/>
    </xf>
    <xf numFmtId="0" fontId="4" fillId="2" borderId="0" xfId="0" applyFont="1" applyFill="1" applyAlignment="1">
      <alignment vertical="top" wrapText="1"/>
    </xf>
    <xf numFmtId="0" fontId="4" fillId="2" borderId="0" xfId="0" applyFont="1" applyFill="1" applyAlignment="1">
      <alignment vertical="center" wrapText="1"/>
    </xf>
    <xf numFmtId="0" fontId="1"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3" xfId="0" applyFont="1" applyFill="1" applyBorder="1" applyAlignment="1" applyProtection="1">
      <alignment vertical="center"/>
      <protection hidden="1"/>
    </xf>
    <xf numFmtId="38" fontId="7" fillId="4" borderId="4" xfId="0" applyNumberFormat="1" applyFont="1" applyFill="1" applyBorder="1" applyAlignment="1">
      <alignment vertical="center" wrapText="1"/>
    </xf>
    <xf numFmtId="0" fontId="6" fillId="2" borderId="0" xfId="0" applyFont="1" applyFill="1" applyAlignment="1">
      <alignment vertical="center"/>
    </xf>
    <xf numFmtId="0" fontId="7" fillId="5" borderId="4" xfId="0" applyFont="1" applyFill="1" applyBorder="1" applyAlignment="1">
      <alignment horizontal="left" vertical="center"/>
    </xf>
    <xf numFmtId="0" fontId="7" fillId="0" borderId="6" xfId="0" applyFont="1" applyBorder="1" applyAlignment="1">
      <alignment vertical="center"/>
    </xf>
    <xf numFmtId="0" fontId="7" fillId="5" borderId="7" xfId="0" applyFont="1" applyFill="1" applyBorder="1" applyAlignment="1">
      <alignment horizontal="left" vertical="center"/>
    </xf>
    <xf numFmtId="164" fontId="7" fillId="0" borderId="6" xfId="0" applyNumberFormat="1" applyFont="1" applyBorder="1" applyAlignment="1">
      <alignment vertical="center"/>
    </xf>
    <xf numFmtId="0" fontId="2" fillId="2" borderId="2" xfId="0" applyFont="1" applyFill="1" applyBorder="1" applyAlignment="1" applyProtection="1">
      <alignment vertical="center"/>
      <protection hidden="1"/>
    </xf>
    <xf numFmtId="0" fontId="8" fillId="6" borderId="6" xfId="1">
      <alignment horizontal="center" vertical="center" wrapText="1"/>
    </xf>
    <xf numFmtId="0" fontId="0" fillId="0" borderId="0" xfId="0" applyAlignment="1">
      <alignment vertical="center"/>
    </xf>
    <xf numFmtId="0" fontId="8" fillId="0" borderId="6" xfId="2" applyProtection="1">
      <alignment horizontal="center" vertical="center"/>
      <protection locked="0"/>
    </xf>
    <xf numFmtId="0" fontId="8" fillId="7" borderId="6" xfId="4">
      <alignment horizontal="center" vertical="center"/>
    </xf>
    <xf numFmtId="166" fontId="8" fillId="0" borderId="6" xfId="5" applyProtection="1">
      <alignment horizontal="center" vertical="center"/>
      <protection locked="0"/>
    </xf>
    <xf numFmtId="0" fontId="8" fillId="7" borderId="6" xfId="6">
      <alignment horizontal="center" vertical="center"/>
    </xf>
    <xf numFmtId="0" fontId="8" fillId="0" borderId="6" xfId="7" applyProtection="1">
      <alignment horizontal="left" vertical="center"/>
      <protection locked="0"/>
    </xf>
    <xf numFmtId="0" fontId="8" fillId="0" borderId="6" xfId="8">
      <alignment horizontal="center" vertical="center"/>
    </xf>
    <xf numFmtId="0" fontId="8" fillId="8" borderId="6" xfId="9">
      <alignment horizontal="center" vertical="center"/>
    </xf>
    <xf numFmtId="0" fontId="9" fillId="9" borderId="8" xfId="10" applyProtection="1">
      <alignment horizontal="center" vertical="center"/>
      <protection locked="0"/>
    </xf>
    <xf numFmtId="0" fontId="9" fillId="9" borderId="8" xfId="11">
      <alignment horizontal="center" vertical="center" wrapText="1"/>
    </xf>
    <xf numFmtId="0" fontId="9" fillId="9" borderId="8" xfId="12" applyProtection="1">
      <alignment horizontal="left" vertical="center"/>
      <protection locked="0"/>
    </xf>
    <xf numFmtId="167" fontId="9" fillId="9" borderId="8" xfId="13" applyProtection="1">
      <alignment horizontal="center" vertical="center"/>
      <protection locked="0"/>
    </xf>
    <xf numFmtId="167" fontId="9" fillId="9" borderId="8" xfId="13">
      <alignment horizontal="center" vertical="center"/>
    </xf>
    <xf numFmtId="0" fontId="8" fillId="8" borderId="8" xfId="9" applyBorder="1">
      <alignment horizontal="center" vertical="center"/>
    </xf>
    <xf numFmtId="167" fontId="9" fillId="8" borderId="8" xfId="13" applyFill="1">
      <alignment horizontal="center" vertical="center"/>
    </xf>
    <xf numFmtId="0" fontId="0" fillId="0" borderId="9" xfId="0" applyBorder="1" applyAlignment="1">
      <alignment vertical="center"/>
    </xf>
    <xf numFmtId="0" fontId="11" fillId="0" borderId="0" xfId="0" applyFont="1" applyAlignment="1">
      <alignment horizontal="center" vertical="center"/>
    </xf>
    <xf numFmtId="0" fontId="8" fillId="6" borderId="6" xfId="3">
      <alignment horizontal="center" vertical="center" textRotation="90" wrapText="1"/>
    </xf>
    <xf numFmtId="0" fontId="8" fillId="0" borderId="6" xfId="2">
      <alignment horizontal="center" vertical="center"/>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165" fontId="7" fillId="0" borderId="5"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protection hidden="1"/>
    </xf>
    <xf numFmtId="0" fontId="3" fillId="3" borderId="0" xfId="0" applyFont="1" applyFill="1" applyAlignment="1">
      <alignment horizontal="center" vertical="top" wrapText="1"/>
    </xf>
    <xf numFmtId="0" fontId="3" fillId="3" borderId="0" xfId="0" applyFont="1" applyFill="1" applyAlignment="1">
      <alignment horizontal="center" vertical="center" wrapText="1"/>
    </xf>
  </cellXfs>
  <cellStyles count="14">
    <cellStyle name="ArticleBody" xfId="10" xr:uid="{0B494DD7-CF1F-4A11-8438-4E2015A04F78}"/>
    <cellStyle name="ArticleBody_currency" xfId="13" xr:uid="{B869E32D-BD9A-4BE4-AB77-97538808FEA3}"/>
    <cellStyle name="ArticleBody_text" xfId="12" xr:uid="{C4FCBA82-E27D-4941-9BC3-41639CBFEFF3}"/>
    <cellStyle name="ArticleBody_UNSCPCDescription" xfId="11" xr:uid="{D9170FC4-973D-463C-8B97-C3CCBAAD8672}"/>
    <cellStyle name="ArticleHeader" xfId="9" xr:uid="{C163B431-A005-4374-BD58-1BCFBE5073B0}"/>
    <cellStyle name="Normal" xfId="0" builtinId="0"/>
    <cellStyle name="ProcessBody" xfId="2" xr:uid="{C8CCD075-14EB-449F-B79B-0E4B4B541CD4}"/>
    <cellStyle name="ProcessBody_address" xfId="7" xr:uid="{2A798F56-C7ED-4F78-8F95-61D239E8ECF6}"/>
    <cellStyle name="ProcessBody_datetime" xfId="5" xr:uid="{F9F9E50D-50D4-4B3B-B267-8598292BFD73}"/>
    <cellStyle name="ProcessBody_number" xfId="8" xr:uid="{62B09D10-7004-4F1D-85D3-100F42F8D9F2}"/>
    <cellStyle name="ProcessHeader" xfId="1" xr:uid="{B570DB7F-0627-4637-9095-19CE93B88E56}"/>
    <cellStyle name="ProcessHeader_vertical" xfId="3" xr:uid="{9FFCC6F9-23AD-452F-9E60-EA4DE5D585A4}"/>
    <cellStyle name="ProcessSubHeader" xfId="4" xr:uid="{DB9B64D9-79EA-43DB-A71C-EFD56FCBF20A}"/>
    <cellStyle name="ProcessSubHeader_lugar" xfId="6" xr:uid="{C8BF6C16-4504-4184-9F4B-67087B8902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133350</xdr:rowOff>
    </xdr:from>
    <xdr:to>
      <xdr:col>0</xdr:col>
      <xdr:colOff>1543050</xdr:colOff>
      <xdr:row>4</xdr:row>
      <xdr:rowOff>123825</xdr:rowOff>
    </xdr:to>
    <xdr:pic>
      <xdr:nvPicPr>
        <xdr:cNvPr id="2" name="Picture 1">
          <a:extLst>
            <a:ext uri="{FF2B5EF4-FFF2-40B4-BE49-F238E27FC236}">
              <a16:creationId xmlns:a16="http://schemas.microsoft.com/office/drawing/2014/main" id="{7890E920-77AA-4212-B3A7-2BFF669BB001}"/>
            </a:ext>
          </a:extLst>
        </xdr:cNvPr>
        <xdr:cNvPicPr>
          <a:picLocks noChangeAspect="1"/>
        </xdr:cNvPicPr>
      </xdr:nvPicPr>
      <xdr:blipFill>
        <a:blip xmlns:r="http://schemas.openxmlformats.org/officeDocument/2006/relationships" r:embed="rId1"/>
        <a:stretch>
          <a:fillRect/>
        </a:stretch>
      </xdr:blipFill>
      <xdr:spPr>
        <a:xfrm>
          <a:off x="104775" y="133350"/>
          <a:ext cx="1438275" cy="1038225"/>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76200</xdr:rowOff>
    </xdr:to>
    <xdr:pic>
      <xdr:nvPicPr>
        <xdr:cNvPr id="3" name="Picture 2">
          <a:extLst>
            <a:ext uri="{FF2B5EF4-FFF2-40B4-BE49-F238E27FC236}">
              <a16:creationId xmlns:a16="http://schemas.microsoft.com/office/drawing/2014/main" id="{C8B9A18B-14F9-4272-B361-ACB2EF647764}"/>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057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Paula%20Guillen\Humberto%20Mendez\PACC%202025\PACC_2025_SIUBEN%20V9.xlsm" TargetMode="External"/><Relationship Id="rId1" Type="http://schemas.openxmlformats.org/officeDocument/2006/relationships/externalLinkPath" Target="PACC_2025_SIUBEN%20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3D4D80-8B92-47E5-A422-4FE081652D24}" name="Table14" displayName="Table14" ref="A148:F149" totalsRowShown="0">
  <tableColumns count="6">
    <tableColumn id="1" xr3:uid="{CEE8D0C3-6104-4821-94BF-3FD76A5628C5}" name="CÓDIGO CATÁLOGO"/>
    <tableColumn id="2" xr3:uid="{69EB0A48-19C5-44FB-8C51-87FC484AE8A3}" name="ARTÍCULO">
      <calculatedColumnFormula>IFERROR(INDEX(UNSPSCDes,MATCH(INDIRECT(ADDRESS(ROW(),COLUMN()-1,4)),UNSPSCCode,0)),IF(INDIRECT(ADDRESS(ROW(),COLUMN()-1,4))="90101802","Servicios de comidas a domicilio",""))</calculatedColumnFormula>
    </tableColumn>
    <tableColumn id="3" xr3:uid="{F3953A23-9309-485A-AD73-B8D631939B93}" name="UNIDAD DE MEDIDA">
      <calculatedColumnFormula>IFERROR(VLOOKUP("UD",'[1]Informacion '!P:Q,2,FALSE),"")</calculatedColumnFormula>
    </tableColumn>
    <tableColumn id="4" xr3:uid="{4B71F358-5225-44F6-AB19-3F1A1B159BBB}" name="CANTIDAD TOTAL ESTIMADA"/>
    <tableColumn id="5" xr3:uid="{57E9CA72-BDBA-4649-A788-B9A77CF216E3}" name="PRECIO UNITARIO ESTIMADO"/>
    <tableColumn id="6" xr3:uid="{82ED32A0-8521-483F-995E-948AA65E264F}"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9A50B5A-A1B1-4ABF-A667-E9D6ED96960A}" name="Table50" displayName="Table50" ref="A729:F732" totalsRowShown="0">
  <tableColumns count="6">
    <tableColumn id="1" xr3:uid="{7F445906-2DB0-4E3F-9312-C24A8932030B}" name="CÓDIGO CATÁLOGO"/>
    <tableColumn id="2" xr3:uid="{52F4C4F4-0A83-4C37-B156-EC1F9420E806}" name="ARTÍCULO">
      <calculatedColumnFormula>IFERROR(INDEX(UNSPSCDes,MATCH(INDIRECT(ADDRESS(ROW(),COLUMN()-1,4)),UNSPSCCode,0)),IF(INDIRECT(ADDRESS(ROW(),COLUMN()-1,4))="55121715","Banderas o accesorios",""))</calculatedColumnFormula>
    </tableColumn>
    <tableColumn id="3" xr3:uid="{F9948479-3C0B-4089-BEF0-C0590ED07A31}" name="UNIDAD DE MEDIDA">
      <calculatedColumnFormula>IFERROR(VLOOKUP("UD",'[1]Informacion '!P:Q,2,FALSE),"")</calculatedColumnFormula>
    </tableColumn>
    <tableColumn id="4" xr3:uid="{0A40D60B-053E-4627-9502-90881FACC9C4}" name="CANTIDAD TOTAL ESTIMADA"/>
    <tableColumn id="5" xr3:uid="{8F70B778-7A0D-4282-AD67-2105D4834B75}" name="PRECIO UNITARIO ESTIMADO"/>
    <tableColumn id="6" xr3:uid="{BF146EE7-205B-4570-BC06-540F5FFC4E05}"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EDDEA5-16F6-46DF-A05F-6EB81211D729}" name="Table52" displayName="Table52" ref="A754:F756" totalsRowShown="0">
  <tableColumns count="6">
    <tableColumn id="1" xr3:uid="{10BDED49-E201-4C7E-AA81-99648003EF3D}" name="CÓDIGO CATÁLOGO"/>
    <tableColumn id="2" xr3:uid="{31E8705B-170E-4A29-9BDF-2A4502D2CCFC}" name="ARTÍCULO"/>
    <tableColumn id="3" xr3:uid="{D0700383-791A-41CC-A57B-063D52F8AA52}" name="UNIDAD DE MEDIDA">
      <calculatedColumnFormula>IFERROR(VLOOKUP("UD",'[1]Informacion '!P:Q,2,FALSE),"")</calculatedColumnFormula>
    </tableColumn>
    <tableColumn id="4" xr3:uid="{B0503B47-782B-44A1-AC90-0F52B5C0A166}" name="CANTIDAD TOTAL ESTIMADA"/>
    <tableColumn id="5" xr3:uid="{D1D81C5E-9F84-488D-9CB9-B8F8F315D82D}" name="PRECIO UNITARIO ESTIMADO"/>
    <tableColumn id="6" xr3:uid="{EC1B424D-1A80-4753-B7C5-CDCEDEF212C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402A34-71EE-4340-9659-B5D4D113D2BD}" name="Table20" displayName="Table20" ref="A223:F229" totalsRowShown="0">
  <tableColumns count="6">
    <tableColumn id="1" xr3:uid="{39CA3F69-1C0A-4CE3-86E5-BA1FA0C16E6C}" name="CÓDIGO CATÁLOGO"/>
    <tableColumn id="2" xr3:uid="{48780564-EAA5-471C-9324-0BF9A1E53051}" name="ARTÍCULO"/>
    <tableColumn id="3" xr3:uid="{18822CD1-0708-4B8D-B85F-564B338026FE}" name="UNIDAD DE MEDIDA"/>
    <tableColumn id="4" xr3:uid="{85979D48-B850-4BAB-B6AF-251C9B8F4B77}" name="CANTIDAD TOTAL ESTIMADA"/>
    <tableColumn id="5" xr3:uid="{4FBA8CC9-5FC3-43B6-8555-4A130C2FC368}" name="PRECIO UNITARIO ESTIMADO"/>
    <tableColumn id="6" xr3:uid="{889EA256-FFD4-4E0B-8C3C-A7776EF6179B}"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6D8DAFD-61B1-4FDB-97C1-6BF60E9EE9FA}" name="Table10" displayName="Table10" ref="A96:F98" totalsRowShown="0">
  <tableColumns count="6">
    <tableColumn id="1" xr3:uid="{75F07490-87A9-4C5F-97FF-7A70B930CC8D}" name="CÓDIGO CATÁLOGO"/>
    <tableColumn id="2" xr3:uid="{166F3F7F-F08B-4963-93EB-4C901739BF62}" name="ARTÍCULO"/>
    <tableColumn id="3" xr3:uid="{3F130B98-576C-4EE1-817E-DC7DD7537A41}" name="UNIDAD DE MEDIDA">
      <calculatedColumnFormula>IFERROR(VLOOKUP("UD",'[1]Informacion '!P:Q,2,FALSE),"")</calculatedColumnFormula>
    </tableColumn>
    <tableColumn id="4" xr3:uid="{11BF7AAA-96AB-4449-B4BC-23F42C03B304}" name="CANTIDAD TOTAL ESTIMADA"/>
    <tableColumn id="5" xr3:uid="{2F47C2BE-C577-4357-92E5-B171A4CE5E50}" name="PRECIO UNITARIO ESTIMADO"/>
    <tableColumn id="6" xr3:uid="{F1875B45-1345-41F7-B743-FF3CA2FB579C}"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A261F83-C6B0-4C73-8AEC-DE63C86F1B75}" name="Table36" displayName="Table36" ref="A453:F455" totalsRowShown="0">
  <tableColumns count="6">
    <tableColumn id="1" xr3:uid="{F7C5ABC1-902F-4B66-8EEE-486FB0443027}" name="CÓDIGO CATÁLOGO"/>
    <tableColumn id="2" xr3:uid="{E89E1EE7-41FF-4A85-8A6F-BAA9E34D3DD0}" name="ARTÍCULO">
      <calculatedColumnFormula>IFERROR(INDEX(UNSPSCDes,MATCH(INDIRECT(ADDRESS(ROW(),COLUMN()-1,4)),UNSPSCCode,0)),IF(INDIRECT(ADDRESS(ROW(),COLUMN()-1,4))="52151504","Tazas o vasos o tapas desechables para uso doméstico",""))</calculatedColumnFormula>
    </tableColumn>
    <tableColumn id="3" xr3:uid="{520881FD-DF43-406F-926D-352188813737}" name="UNIDAD DE MEDIDA">
      <calculatedColumnFormula>IFERROR(VLOOKUP("UD",'[1]Informacion '!P:Q,2,FALSE),"")</calculatedColumnFormula>
    </tableColumn>
    <tableColumn id="4" xr3:uid="{608C8AF4-0EE1-4B9F-9B37-77A532E71C31}" name="CANTIDAD TOTAL ESTIMADA"/>
    <tableColumn id="5" xr3:uid="{77010E82-2230-4A3C-993D-0A3F94383F8F}" name="PRECIO UNITARIO ESTIMADO"/>
    <tableColumn id="6" xr3:uid="{05AF7FC9-2749-4262-B270-669675689D5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FC5C6D4-4D13-41CF-A891-E560D4417219}" name="Table57" displayName="Table57" ref="A829:F830" totalsRowShown="0">
  <tableColumns count="6">
    <tableColumn id="1" xr3:uid="{6CFED7DF-5B16-46D6-85D6-609D061614F2}" name="CÓDIGO CATÁLOGO"/>
    <tableColumn id="2" xr3:uid="{A3200BDC-4A00-4E20-9695-350AD3E94EED}" name="ARTÍCULO">
      <calculatedColumnFormula>IFERROR(INDEX(UNSPSCDes,MATCH(INDIRECT(ADDRESS(ROW(),COLUMN()-1,4)),UNSPSCCode,0)),IF(INDIRECT(ADDRESS(ROW(),COLUMN()-1,4))="43191606","Auriculares de teléfonos",""))</calculatedColumnFormula>
    </tableColumn>
    <tableColumn id="3" xr3:uid="{DB25E2B0-1C6F-4CBB-94BE-7F4FE14D71B5}" name="UNIDAD DE MEDIDA">
      <calculatedColumnFormula>IFERROR(VLOOKUP("UD",'[1]Informacion '!P:Q,2,FALSE),"")</calculatedColumnFormula>
    </tableColumn>
    <tableColumn id="4" xr3:uid="{5190DCB3-0AE3-4C7D-81C0-5B91C52E2D9A}" name="CANTIDAD TOTAL ESTIMADA"/>
    <tableColumn id="5" xr3:uid="{31AE4101-5A69-4892-90AD-BDF29E406856}" name="PRECIO UNITARIO ESTIMADO"/>
    <tableColumn id="6" xr3:uid="{4658860B-7684-4A07-8CB8-8F5769A177F1}"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50127AB-5D72-42C2-B885-74C671FECDE0}" name="Table21" displayName="Table21" ref="A239:F244" totalsRowShown="0">
  <tableColumns count="6">
    <tableColumn id="1" xr3:uid="{E31CA955-A1D4-495E-BA01-A79664A9EB26}" name="CÓDIGO CATÁLOGO"/>
    <tableColumn id="2" xr3:uid="{702DCF86-09F5-4EF5-A8DD-C223189B7291}" name="ARTÍCULO"/>
    <tableColumn id="3" xr3:uid="{8F048393-F7D7-4091-9409-E9E488ED654F}" name="UNIDAD DE MEDIDA">
      <calculatedColumnFormula>IFERROR(VLOOKUP("UD",'[1]Informacion '!P:Q,2,FALSE),"")</calculatedColumnFormula>
    </tableColumn>
    <tableColumn id="4" xr3:uid="{88314E38-F1FF-41F1-84D8-C05C9750CB38}" name="CANTIDAD TOTAL ESTIMADA"/>
    <tableColumn id="5" xr3:uid="{1699344A-DE13-46FB-8D4D-2A19BA4D7202}" name="PRECIO UNITARIO ESTIMADO"/>
    <tableColumn id="6" xr3:uid="{E52C7B02-9A14-4251-B2F9-6C6C923EF3BC}"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96AFE7-3FF1-496E-87AC-51EA067920CB}" name="Table41" displayName="Table41" ref="A509:F510" totalsRowShown="0">
  <tableColumns count="6">
    <tableColumn id="1" xr3:uid="{508920BB-BE84-44CF-A765-FE40EA7C031B}" name="CÓDIGO CATÁLOGO"/>
    <tableColumn id="2" xr3:uid="{5CA3C777-5912-485F-A40C-1CC5755059C3}" name="ARTÍCULO">
      <calculatedColumnFormula>IFERROR(INDEX(UNSPSCDes,MATCH(INDIRECT(ADDRESS(ROW(),COLUMN()-1,4)),UNSPSCCode,0)),IF(INDIRECT(ADDRESS(ROW(),COLUMN()-1,4))="43212105","Impresoras láser",""))</calculatedColumnFormula>
    </tableColumn>
    <tableColumn id="3" xr3:uid="{F2A0E573-6EB8-4A41-B9F8-0EA8078E800B}" name="UNIDAD DE MEDIDA">
      <calculatedColumnFormula>IFERROR(VLOOKUP("UD",'[1]Informacion '!P:Q,2,FALSE),"")</calculatedColumnFormula>
    </tableColumn>
    <tableColumn id="4" xr3:uid="{714A21BF-7980-4B1F-9170-3A18151582F6}" name="CANTIDAD TOTAL ESTIMADA"/>
    <tableColumn id="5" xr3:uid="{AEC70D9C-2650-427F-8E21-55B0A7E71665}" name="PRECIO UNITARIO ESTIMADO"/>
    <tableColumn id="6" xr3:uid="{4F0BB2A5-4B34-4534-AAD7-B27FF6536ABB}"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60EBE2A-902F-4BA6-AFC7-EB24400B06E3}" name="Table56" displayName="Table56" ref="A818:F819" totalsRowShown="0">
  <tableColumns count="6">
    <tableColumn id="1" xr3:uid="{A1D6B37A-BDE1-4F07-BCC5-261B5810621F}" name="CÓDIGO CATÁLOGO"/>
    <tableColumn id="2" xr3:uid="{5C147ACC-30D9-4D6C-8003-B7D1B6F58141}" name="ARTÍCULO">
      <calculatedColumnFormula>IFERROR(INDEX(UNSPSCDes,MATCH(INDIRECT(ADDRESS(ROW(),COLUMN()-1,4)),UNSPSCCode,0)),IF(INDIRECT(ADDRESS(ROW(),COLUMN()-1,4))="73152002","Servicios de llenado con aerosol",""))</calculatedColumnFormula>
    </tableColumn>
    <tableColumn id="3" xr3:uid="{1C6B2C1F-8820-4C57-9C4C-30DB73955FD4}" name="UNIDAD DE MEDIDA">
      <calculatedColumnFormula>IFERROR(VLOOKUP("UD",'[1]Informacion '!P:Q,2,FALSE),"")</calculatedColumnFormula>
    </tableColumn>
    <tableColumn id="4" xr3:uid="{C20EC7C3-5957-4F87-964C-61A8BC43D57B}" name="CANTIDAD TOTAL ESTIMADA"/>
    <tableColumn id="5" xr3:uid="{AAB20955-AB3F-40DD-B64A-7BCB9F2A4702}" name="PRECIO UNITARIO ESTIMADO"/>
    <tableColumn id="6" xr3:uid="{73A1ED5A-BC34-41B2-9A46-9F7CAB4CFE1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586F19D-AB95-4A8C-9040-1027BAD9E322}" name="Table47" displayName="Table47" ref="A604:F605" totalsRowShown="0">
  <tableColumns count="6">
    <tableColumn id="1" xr3:uid="{7C438315-B7F5-4677-A912-09DC327A30CF}" name="CÓDIGO CATÁLOGO"/>
    <tableColumn id="2" xr3:uid="{78FF0FC1-ACC8-4EFC-ABC2-F890A44FCC03}" name="ARTÍCULO">
      <calculatedColumnFormula>IFERROR(INDEX(UNSPSCDes,MATCH(INDIRECT(ADDRESS(ROW(),COLUMN()-1,4)),UNSPSCCode,0)),IF(INDIRECT(ADDRESS(ROW(),COLUMN()-1,4))="91111502","Servicios de lavandería",""))</calculatedColumnFormula>
    </tableColumn>
    <tableColumn id="3" xr3:uid="{0DA2A07C-D2C6-44C4-937D-745481379AAE}" name="UNIDAD DE MEDIDA">
      <calculatedColumnFormula>IFERROR(VLOOKUP("UD",'[1]Informacion '!P:Q,2,FALSE),"")</calculatedColumnFormula>
    </tableColumn>
    <tableColumn id="4" xr3:uid="{78DC7629-3FDA-4D40-A789-F543633F8077}" name="CANTIDAD TOTAL ESTIMADA"/>
    <tableColumn id="5" xr3:uid="{80E69D5D-67CB-44C2-8462-E62753487441}" name="PRECIO UNITARIO ESTIMADO"/>
    <tableColumn id="6" xr3:uid="{45FCFEF7-973A-461F-AE59-6D470D24D98E}"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134ACB-9012-4902-B800-7FD8FE872F86}" name="Table32" displayName="Table32" ref="A387:F395" totalsRowShown="0">
  <tableColumns count="6">
    <tableColumn id="1" xr3:uid="{02C66A61-BF24-4BF8-8299-2BCA58425BFE}" name="CÓDIGO CATÁLOGO"/>
    <tableColumn id="2" xr3:uid="{7C311DA5-3D35-4C26-AF3C-AB09FBD39B06}" name="ARTÍCULO"/>
    <tableColumn id="3" xr3:uid="{32B1E679-D1F9-48E7-BAA5-CBF77C572B2E}" name="UNIDAD DE MEDIDA"/>
    <tableColumn id="4" xr3:uid="{54502D3C-8A19-4D18-9366-CFFA4922E809}" name="CANTIDAD TOTAL ESTIMADA"/>
    <tableColumn id="5" xr3:uid="{B8B5DD6A-3C5D-450E-B45C-69B9429B91D2}" name="PRECIO UNITARIO ESTIMADO"/>
    <tableColumn id="6" xr3:uid="{8818B1A9-C958-4CD4-943F-8A4DEA63E5DD}"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E7F9B8A-F9F0-4D5A-BE53-2D4B23FFD1CC}" name="Table12" displayName="Table12" ref="A121:F122" totalsRowShown="0">
  <tableColumns count="6">
    <tableColumn id="1" xr3:uid="{62CC0AC6-A4DC-4381-B704-939432F289F7}" name="CÓDIGO CATÁLOGO"/>
    <tableColumn id="2" xr3:uid="{FF4B8D1A-71EB-4F2A-BFEC-DDEB6C0770DF}" name="ARTÍCULO">
      <calculatedColumnFormula>IFERROR(INDEX(UNSPSCDes,MATCH(INDIRECT(ADDRESS(ROW(),COLUMN()-1,4)),UNSPSCCode,0)),IF(INDIRECT(ADDRESS(ROW(),COLUMN()-1,4))="86101705","Capacitación administrativa",""))</calculatedColumnFormula>
    </tableColumn>
    <tableColumn id="3" xr3:uid="{CDE1C140-97A8-4F3E-ADC6-9F8D449477A1}" name="UNIDAD DE MEDIDA">
      <calculatedColumnFormula>IFERROR(VLOOKUP("UD",'[1]Informacion '!P:Q,2,FALSE),"")</calculatedColumnFormula>
    </tableColumn>
    <tableColumn id="4" xr3:uid="{0621B540-0837-4687-BED8-70D5388F3762}" name="CANTIDAD TOTAL ESTIMADA"/>
    <tableColumn id="5" xr3:uid="{4AA836D1-F96D-4DDA-8ECD-D8A6A3FFE9BE}" name="PRECIO UNITARIO ESTIMADO"/>
    <tableColumn id="6" xr3:uid="{05B0F3F5-5228-4B42-9D8B-A788DA2A76B3}"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A127E7A-3C9A-4EE7-8404-8E884DA67B4B}" name="Table59" displayName="Table59" ref="A864:F867" totalsRowShown="0">
  <tableColumns count="6">
    <tableColumn id="1" xr3:uid="{0D962077-3CAA-42F9-A94F-52D8677035D7}" name="CÓDIGO CATÁLOGO"/>
    <tableColumn id="2" xr3:uid="{8694F206-510C-4CFB-8A43-A937A433B54A}" name="ARTÍCULO"/>
    <tableColumn id="3" xr3:uid="{FF858CFA-1F70-461A-950F-D57FE9ACF208}" name="UNIDAD DE MEDIDA">
      <calculatedColumnFormula>IFERROR(VLOOKUP("UD",'[1]Informacion '!P:Q,2,FALSE),"")</calculatedColumnFormula>
    </tableColumn>
    <tableColumn id="4" xr3:uid="{93D830A0-7DF9-41F6-8F38-56D5236C5D1C}" name="CANTIDAD TOTAL ESTIMADA"/>
    <tableColumn id="5" xr3:uid="{FE2C544C-14B5-476E-9242-4CC980C92D6B}" name="PRECIO UNITARIO ESTIMADO"/>
    <tableColumn id="6" xr3:uid="{DECA47D6-4DC0-416C-AB71-4C61DE1FBBB1}"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15846D2-B3E8-4826-A493-F9150F274B5B}" name="Table43" displayName="Table43" ref="A531:F533" totalsRowShown="0">
  <tableColumns count="6">
    <tableColumn id="1" xr3:uid="{373A0EA8-F4DE-4C78-8635-FDE8FD2F905D}" name="CÓDIGO CATÁLOGO"/>
    <tableColumn id="2" xr3:uid="{E60EAF3F-C1AC-40DE-9C0F-BACE2AF866BA}" name="ARTÍCULO">
      <calculatedColumnFormula>IFERROR(INDEX(UNSPSCDes,MATCH(INDIRECT(ADDRESS(ROW(),COLUMN()-1,4)),UNSPSCCode,0)),IF(INDIRECT(ADDRESS(ROW(),COLUMN()-1,4))="50202301","Agua",""))</calculatedColumnFormula>
    </tableColumn>
    <tableColumn id="3" xr3:uid="{A72A9AF2-1375-417D-9FF8-807DA8AEAA85}" name="UNIDAD DE MEDIDA">
      <calculatedColumnFormula>IFERROR(VLOOKUP("UD",'[1]Informacion '!P:Q,2,FALSE),"")</calculatedColumnFormula>
    </tableColumn>
    <tableColumn id="4" xr3:uid="{4C05795F-5229-461D-B786-D1677DECFDD7}" name="CANTIDAD TOTAL ESTIMADA"/>
    <tableColumn id="5" xr3:uid="{F26D0F71-B8F4-4287-BE60-DACFEA1E8CEC}" name="PRECIO UNITARIO ESTIMADO"/>
    <tableColumn id="6" xr3:uid="{4882882C-9DE1-4870-B18E-4D43ADAAF2A4}"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040F3E4-162D-49DD-A946-0A1AA9BA09CD}" name="Table46" displayName="Table46" ref="A590:F594" totalsRowShown="0">
  <tableColumns count="6">
    <tableColumn id="1" xr3:uid="{FCC0C1C1-6FF2-4F50-B1EE-C1987EEB287B}" name="CÓDIGO CATÁLOGO"/>
    <tableColumn id="2" xr3:uid="{D1A88972-4EE1-46F5-9B55-7EA4C5463946}" name="ARTÍCULO"/>
    <tableColumn id="3" xr3:uid="{FED2F515-2EA0-428E-85C9-7E0253CC8D6C}" name="UNIDAD DE MEDIDA"/>
    <tableColumn id="4" xr3:uid="{4D59E0DC-3B86-486E-8FE2-C6418DE0BF29}" name="CANTIDAD TOTAL ESTIMADA"/>
    <tableColumn id="5" xr3:uid="{64C30D8A-AE36-435C-AFC5-B18E633A573B}" name="PRECIO UNITARIO ESTIMADO"/>
    <tableColumn id="6" xr3:uid="{C46FF257-D9F1-4BF5-9393-900C6C735B6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32C0B1-1ED7-41C0-8E47-6F88EA4CA41B}" name="Table11" displayName="Table11" ref="A108:F111" totalsRowShown="0">
  <tableColumns count="6">
    <tableColumn id="1" xr3:uid="{C0A06FEC-5560-4F16-88B0-E67350AB77AA}" name="CÓDIGO CATÁLOGO"/>
    <tableColumn id="2" xr3:uid="{FD686AB1-11E5-4AE7-A20A-A0D43F431330}" name="ARTÍCULO"/>
    <tableColumn id="3" xr3:uid="{BE6C6E99-D3F7-41F8-9FD4-8FBAE799B834}" name="UNIDAD DE MEDIDA">
      <calculatedColumnFormula>IFERROR(VLOOKUP("UD",'[1]Informacion '!P:Q,2,FALSE),"")</calculatedColumnFormula>
    </tableColumn>
    <tableColumn id="4" xr3:uid="{D69CD2BB-6BD0-4A9E-A0A9-CEC7AE32D51A}" name="CANTIDAD TOTAL ESTIMADA"/>
    <tableColumn id="5" xr3:uid="{EF7E96D2-9880-431B-8468-5BF32C7FA09F}" name="PRECIO UNITARIO ESTIMADO"/>
    <tableColumn id="6" xr3:uid="{4BF3F1F0-1F11-4710-891D-AE545839F0B8}"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032265B-C02B-472C-90E7-CCCF787A84AE}" name="Table15" displayName="Table15" ref="A159:F160" totalsRowShown="0">
  <tableColumns count="6">
    <tableColumn id="1" xr3:uid="{ECE685B4-33DE-4248-B393-F3E572928C57}" name="CÓDIGO CATÁLOGO"/>
    <tableColumn id="2" xr3:uid="{EC8F4223-E4BE-4005-9A9E-4B2094FCA301}" name="ARTÍCULO">
      <calculatedColumnFormula>IFERROR(INDEX(UNSPSCDes,MATCH(INDIRECT(ADDRESS(ROW(),COLUMN()-1,4)),UNSPSCCode,0)),IF(INDIRECT(ADDRESS(ROW(),COLUMN()-1,4))="72102103","Servicios de exterminación o fumigación",""))</calculatedColumnFormula>
    </tableColumn>
    <tableColumn id="3" xr3:uid="{5836F63C-98A3-41CF-8E48-AC6B98E15DE4}" name="UNIDAD DE MEDIDA">
      <calculatedColumnFormula>IFERROR(VLOOKUP("UD",'[1]Informacion '!P:Q,2,FALSE),"")</calculatedColumnFormula>
    </tableColumn>
    <tableColumn id="4" xr3:uid="{DED3859A-2262-4ECF-8DA0-D07C6A3DBE7C}" name="CANTIDAD TOTAL ESTIMADA"/>
    <tableColumn id="5" xr3:uid="{B9E3584C-512F-49DF-A6D4-8B87FF6B1445}" name="PRECIO UNITARIO ESTIMADO"/>
    <tableColumn id="6" xr3:uid="{A66F0502-C30E-4434-B1E8-32E29655234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276CA1-B324-41A5-BB4E-04322D54CC2A}" name="Table45" displayName="Table45" ref="A564:F580" totalsRowShown="0">
  <tableColumns count="6">
    <tableColumn id="1" xr3:uid="{347899D5-7C2C-40F5-9BA1-C0B90432111A}" name="CÓDIGO CATÁLOGO"/>
    <tableColumn id="2" xr3:uid="{DEEED2F6-A912-40E2-998D-1D4BFDA53F07}" name="ARTÍCULO"/>
    <tableColumn id="3" xr3:uid="{E0CDB51B-5FB8-404D-958E-1894B45C7AC8}" name="UNIDAD DE MEDIDA"/>
    <tableColumn id="4" xr3:uid="{168A6C4C-A0A3-4ECB-B107-3F64F687A3C8}" name="CANTIDAD TOTAL ESTIMADA"/>
    <tableColumn id="5" xr3:uid="{DEF9561F-898E-45C7-A430-D2A6D36E4857}" name="PRECIO UNITARIO ESTIMADO"/>
    <tableColumn id="6" xr3:uid="{BEF7BC0A-55EC-4389-A2F9-8A70B085204F}"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74AAE3B-59B1-4141-B5E7-ABF18028C1AB}" name="Table49" displayName="Table49" ref="A626:F719" totalsRowShown="0">
  <tableColumns count="6">
    <tableColumn id="1" xr3:uid="{4B56E380-D270-4FAF-BE77-606F6DB639CD}" name="CÓDIGO CATÁLOGO"/>
    <tableColumn id="2" xr3:uid="{C97280E2-8FDA-41AB-8ABE-6F0E18653A7F}" name="ARTÍCULO"/>
    <tableColumn id="3" xr3:uid="{A9417AED-0B05-4181-A4B8-246C0CB75108}" name="UNIDAD DE MEDIDA"/>
    <tableColumn id="4" xr3:uid="{156CA2A6-C619-4BD2-844B-76532C5BF87E}" name="CANTIDAD TOTAL ESTIMADA"/>
    <tableColumn id="5" xr3:uid="{79E83E9D-175F-43C3-A346-33A04FF9A59F}" name="PRECIO UNITARIO ESTIMADO"/>
    <tableColumn id="6" xr3:uid="{70578B04-EB55-42B2-803B-800F8E89FE6C}"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40EFC-AC9C-422B-A0AB-B9411F8D522E}" name="Table9" displayName="Table9" ref="A85:F86" totalsRowShown="0">
  <tableColumns count="6">
    <tableColumn id="1" xr3:uid="{FAC978DC-F84D-452B-9C8B-B8E21D56171E}" name="CÓDIGO CATÁLOGO"/>
    <tableColumn id="2" xr3:uid="{48BD3EDB-6068-4441-BE2D-DB302C7DA093}" name="ARTÍCULO">
      <calculatedColumnFormula>IFERROR(INDEX(UNSPSCDes,MATCH(INDIRECT(ADDRESS(ROW(),COLUMN()-1,4)),UNSPSCCode,0)),IF(INDIRECT(ADDRESS(ROW(),COLUMN()-1,4))="90101604","Servicios de cáterin en la obra o lugar de trabajo",""))</calculatedColumnFormula>
    </tableColumn>
    <tableColumn id="3" xr3:uid="{73DF58B0-47AE-44B5-B1A7-F0B6FFFFDA6F}" name="UNIDAD DE MEDIDA">
      <calculatedColumnFormula>IFERROR(VLOOKUP("UD",'[1]Informacion '!P:Q,2,FALSE),"")</calculatedColumnFormula>
    </tableColumn>
    <tableColumn id="4" xr3:uid="{245DC38A-82DB-4C1C-99FB-D8E60D6FEE4C}" name="CANTIDAD TOTAL ESTIMADA"/>
    <tableColumn id="5" xr3:uid="{7D5152BD-160B-4737-861E-F2C939A7362B}" name="PRECIO UNITARIO ESTIMADO"/>
    <tableColumn id="6" xr3:uid="{8DFF10FD-D4B6-4629-8284-450EC80B1FBC}"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7D6A30F-B226-4378-A2AA-2D5613A3C3F4}" name="Table6" displayName="Table6" ref="A45:F49" totalsRowShown="0">
  <tableColumns count="6">
    <tableColumn id="1" xr3:uid="{A731C760-E3B7-46EA-907B-3C5997219BCD}" name="CÓDIGO CATÁLOGO"/>
    <tableColumn id="2" xr3:uid="{BE5C620C-4AA3-4B2A-956E-A1ED25811E7D}" name="ARTÍCULO">
      <calculatedColumnFormula>IFERROR(INDEX(UNSPSCDes,MATCH(INDIRECT(ADDRESS(ROW(),COLUMN()-1,4)),UNSPSCCode,0)),IF(INDIRECT(ADDRESS(ROW(),COLUMN()-1,4))="81112501","Servicio de licencias de programas informáticos",""))</calculatedColumnFormula>
    </tableColumn>
    <tableColumn id="3" xr3:uid="{318AC43D-A77F-4C20-BED8-8C2FCE581B7E}" name="UNIDAD DE MEDIDA">
      <calculatedColumnFormula>IFERROR(VLOOKUP("UD",'[1]Informacion '!P:Q,2,FALSE),"")</calculatedColumnFormula>
    </tableColumn>
    <tableColumn id="4" xr3:uid="{D624D664-028F-4A3D-A9A5-D92EA08F1863}" name="CANTIDAD TOTAL ESTIMADA"/>
    <tableColumn id="5" xr3:uid="{6EEA8E5E-2996-4CCF-9663-787108EFAF2A}" name="PRECIO UNITARIO ESTIMADO"/>
    <tableColumn id="6" xr3:uid="{33AE9E3E-32DE-4B80-99AE-7316A16025BC}"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D6F8AD-AA6A-45E7-B1E8-C962CAED394A}" name="Table31" displayName="Table31" ref="A375:F377" totalsRowShown="0">
  <tableColumns count="6">
    <tableColumn id="1" xr3:uid="{CF02E49B-A175-498D-A9D5-1A611466CECC}" name="CÓDIGO CATÁLOGO"/>
    <tableColumn id="2" xr3:uid="{2BE9CA82-1DF3-4708-BF8D-4BCC577A2549}" name="ARTÍCULO"/>
    <tableColumn id="3" xr3:uid="{BC2617D2-0BDE-4E20-8ABF-0CF39F199498}" name="UNIDAD DE MEDIDA">
      <calculatedColumnFormula>IFERROR(VLOOKUP("UD",'[1]Informacion '!P:Q,2,FALSE),"")</calculatedColumnFormula>
    </tableColumn>
    <tableColumn id="4" xr3:uid="{A9AA508E-8F32-4261-917D-CC013521AA5C}" name="CANTIDAD TOTAL ESTIMADA"/>
    <tableColumn id="5" xr3:uid="{24DF7B6D-0F16-4FEB-84C3-1927AAE9531F}" name="PRECIO UNITARIO ESTIMADO"/>
    <tableColumn id="6" xr3:uid="{730B021B-C31D-4FD5-A6E4-43AF590BDDB2}"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47230C-A6F9-45B6-8872-6FC16FA1477B}" name="Table8" displayName="Table8" ref="A71:F75" totalsRowShown="0">
  <tableColumns count="6">
    <tableColumn id="1" xr3:uid="{32B0BAB7-953E-4AB2-A487-289B70DCAB18}" name="CÓDIGO CATÁLOGO"/>
    <tableColumn id="2" xr3:uid="{2B591346-6129-4748-81A2-E138DE6F6AF4}" name="ARTÍCULO"/>
    <tableColumn id="3" xr3:uid="{75BEE758-9346-4BF7-B267-D10F2C1CA9CC}" name="UNIDAD DE MEDIDA"/>
    <tableColumn id="4" xr3:uid="{62FC89D9-C33B-4E21-9FE2-1AEEAE050AF1}" name="CANTIDAD TOTAL ESTIMADA"/>
    <tableColumn id="5" xr3:uid="{772A61FF-C18F-4463-90DE-BE6275EACC19}" name="PRECIO UNITARIO ESTIMADO"/>
    <tableColumn id="6" xr3:uid="{C7BB6871-A9EC-4A3F-8569-40AEDC1CCE08}"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BE5FABF-12E5-46BB-8739-65E69B0E7CE5}" name="Table23" displayName="Table23" ref="A265:F266" totalsRowShown="0">
  <tableColumns count="6">
    <tableColumn id="1" xr3:uid="{C9FDBF7E-EF3C-4B6B-86F9-A67F35FA1116}" name="CÓDIGO CATÁLOGO"/>
    <tableColumn id="2" xr3:uid="{492864A1-4B91-473F-87EC-0BAB5C293174}" name="ARTÍCULO">
      <calculatedColumnFormula>IFERROR(INDEX(UNSPSCDes,MATCH(INDIRECT(ADDRESS(ROW(),COLUMN()-1,4)),UNSPSCCode,0)),IF(INDIRECT(ADDRESS(ROW(),COLUMN()-1,4))="43232801","Software de monitoreo de red",""))</calculatedColumnFormula>
    </tableColumn>
    <tableColumn id="3" xr3:uid="{5E3FE8BF-FDA8-4634-B885-83551ACCDDC6}" name="UNIDAD DE MEDIDA">
      <calculatedColumnFormula>IFERROR(VLOOKUP("UD",'[1]Informacion '!P:Q,2,FALSE),"")</calculatedColumnFormula>
    </tableColumn>
    <tableColumn id="4" xr3:uid="{1FE47AF2-6CDC-4FBF-9C1D-E3E0F8DD567B}" name="CANTIDAD TOTAL ESTIMADA"/>
    <tableColumn id="5" xr3:uid="{6846A262-3E92-48C0-B3C3-6EF3B4BE076E}" name="PRECIO UNITARIO ESTIMADO"/>
    <tableColumn id="6" xr3:uid="{D1102434-4027-418D-BD38-5C50CE49C1EA}"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5B3D959-F13F-4772-9BAF-42A37721B4E2}" name="Table55" displayName="Table55" ref="A802:F808" totalsRowShown="0">
  <tableColumns count="6">
    <tableColumn id="1" xr3:uid="{A059DB75-53E7-4563-A67A-A057B8293C9D}" name="CÓDIGO CATÁLOGO"/>
    <tableColumn id="2" xr3:uid="{01950677-0ACA-418E-9468-683049516CA2}" name="ARTÍCULO"/>
    <tableColumn id="3" xr3:uid="{037FDEE4-7F3C-4CC1-9A5E-EE0F1403154B}" name="UNIDAD DE MEDIDA">
      <calculatedColumnFormula>IFERROR(VLOOKUP("UD",'[1]Informacion '!P:Q,2,FALSE),"")</calculatedColumnFormula>
    </tableColumn>
    <tableColumn id="4" xr3:uid="{027A15CF-1DF2-407A-AB8A-F48D4F6D2165}" name="CANTIDAD TOTAL ESTIMADA"/>
    <tableColumn id="5" xr3:uid="{94191F7A-815A-4F14-9FD6-B8EF18D48400}" name="PRECIO UNITARIO ESTIMADO"/>
    <tableColumn id="6" xr3:uid="{250D7F9A-790C-472B-B4B7-72B286E608F4}"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B74ECF7-4933-4185-8357-6F4D3AD63284}" name="Table30" displayName="Table30" ref="A364:F365" totalsRowShown="0">
  <tableColumns count="6">
    <tableColumn id="1" xr3:uid="{93D29338-C90B-474C-A1F4-04E996578CCB}" name="CÓDIGO CATÁLOGO"/>
    <tableColumn id="2" xr3:uid="{30035D75-22FF-49E2-AED1-67C888D7D6D7}" name="ARTÍCULO">
      <calculatedColumnFormula>IFERROR(INDEX(UNSPSCDes,MATCH(INDIRECT(ADDRESS(ROW(),COLUMN()-1,4)),UNSPSCCode,0)),IF(INDIRECT(ADDRESS(ROW(),COLUMN()-1,4))="52141501","Neveras para uso doméstico",""))</calculatedColumnFormula>
    </tableColumn>
    <tableColumn id="3" xr3:uid="{10D68071-AC6F-48AF-B767-3876B7FCE36D}" name="UNIDAD DE MEDIDA">
      <calculatedColumnFormula>IFERROR(VLOOKUP("UD",'[1]Informacion '!P:Q,2,FALSE),"")</calculatedColumnFormula>
    </tableColumn>
    <tableColumn id="4" xr3:uid="{829C934A-CDE4-4782-B83A-8AA978E21707}" name="CANTIDAD TOTAL ESTIMADA"/>
    <tableColumn id="5" xr3:uid="{E671A744-9B99-4DFA-9EEA-43B1E952017A}" name="PRECIO UNITARIO ESTIMADO"/>
    <tableColumn id="6" xr3:uid="{A5FB5901-3B98-423B-8FFE-EFA15B382279}"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D449132-A2E1-4E61-8FD6-FADADB0B90DE}" name="Table27" displayName="Table27" ref="A326:F330" totalsRowShown="0">
  <tableColumns count="6">
    <tableColumn id="1" xr3:uid="{50FA6967-571E-4710-825D-EFBA397AA422}" name="CÓDIGO CATÁLOGO"/>
    <tableColumn id="2" xr3:uid="{46648417-E870-4677-B0E6-219E557F9FA3}" name="ARTÍCULO"/>
    <tableColumn id="3" xr3:uid="{EF44D3D4-3612-4C7D-A379-D690BF93B07F}" name="UNIDAD DE MEDIDA">
      <calculatedColumnFormula>IFERROR(VLOOKUP("UD",'[1]Informacion '!P:Q,2,FALSE),"")</calculatedColumnFormula>
    </tableColumn>
    <tableColumn id="4" xr3:uid="{7C8C7B12-C3DB-44F9-AC86-5579B83E4936}" name="CANTIDAD TOTAL ESTIMADA"/>
    <tableColumn id="5" xr3:uid="{FA3C1BC8-71D7-421E-9054-8C390FF3AF1B}" name="PRECIO UNITARIO ESTIMADO"/>
    <tableColumn id="6" xr3:uid="{FC9BAEA9-B93D-44EA-AF04-2D95FCEB134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552F298-5A54-4DE5-88D0-6066E26AE7E9}" name="Table4" displayName="Table4" ref="A22:F23" totalsRowShown="0">
  <tableColumns count="6">
    <tableColumn id="1" xr3:uid="{CB2F4E13-3510-4EE1-9889-41EDF641795A}" name="CÓDIGO CATÁLOGO"/>
    <tableColumn id="2" xr3:uid="{2ABB243D-F447-4348-A89C-7BD559EA242D}" name="ARTÍCULO">
      <calculatedColumnFormula>IFERROR(INDEX(UNSPSCDes,MATCH(INDIRECT(ADDRESS(ROW(),COLUMN()-1,4)),UNSPSCCode,0)),IF(INDIRECT(ADDRESS(ROW(),COLUMN()-1,4))="72102201","Instalación o servicio de sistemas de energía eléctrica",""))</calculatedColumnFormula>
    </tableColumn>
    <tableColumn id="3" xr3:uid="{9FF3BF49-8712-4CD5-92C6-EE99B854CB85}" name="UNIDAD DE MEDIDA">
      <calculatedColumnFormula>IFERROR(VLOOKUP("UD",'[1]Informacion '!P:Q,2,FALSE),"")</calculatedColumnFormula>
    </tableColumn>
    <tableColumn id="4" xr3:uid="{B42BF17E-E6C7-4E8A-ADC8-860350BAA590}" name="CANTIDAD TOTAL ESTIMADA"/>
    <tableColumn id="5" xr3:uid="{A03D3B50-2790-4708-904D-0C18044C696A}" name="PRECIO UNITARIO ESTIMADO"/>
    <tableColumn id="6" xr3:uid="{B61B5FA5-DA08-43EB-A535-366DD2CA1F0F}"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C9F623E-B683-4F03-9DEC-6DFA5C4DFEED}" name="Table28" displayName="Table28" ref="A340:F343" totalsRowShown="0">
  <tableColumns count="6">
    <tableColumn id="1" xr3:uid="{4CEDBE4F-0E06-4E25-A1E0-9D9691F9F3AF}" name="CÓDIGO CATÁLOGO"/>
    <tableColumn id="2" xr3:uid="{AA06ADC2-4371-4A89-95DB-62CF0936673B}" name="ARTÍCULO"/>
    <tableColumn id="3" xr3:uid="{A6D53765-0BDC-4E08-A1CC-9A69C4532A53}" name="UNIDAD DE MEDIDA">
      <calculatedColumnFormula>IFERROR(VLOOKUP("UD",'[1]Informacion '!P:Q,2,FALSE),"")</calculatedColumnFormula>
    </tableColumn>
    <tableColumn id="4" xr3:uid="{6016FD1B-AA33-4ED4-BA62-996DFED79E7A}" name="CANTIDAD TOTAL ESTIMADA"/>
    <tableColumn id="5" xr3:uid="{2245EF2A-8398-4AA1-9917-245FF70702AF}" name="PRECIO UNITARIO ESTIMADO"/>
    <tableColumn id="6" xr3:uid="{06C01933-DA03-4A6A-8865-8CA3F485441D}"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95D98E9-DC29-4DE7-AD93-1901BBDC35AF}" name="Table26" displayName="Table26" ref="A298:F316" totalsRowShown="0">
  <tableColumns count="6">
    <tableColumn id="1" xr3:uid="{CEA92D1A-085F-4C03-90F7-0C64F22DBEB8}" name="CÓDIGO CATÁLOGO"/>
    <tableColumn id="2" xr3:uid="{AA061E98-0309-4277-BA40-63A4FE0DEBC6}" name="ARTÍCULO"/>
    <tableColumn id="3" xr3:uid="{C3A7A042-5331-4120-BA03-2C70A0988439}" name="UNIDAD DE MEDIDA"/>
    <tableColumn id="4" xr3:uid="{8E33AF95-1113-4B75-8240-CF6DE3B6864D}" name="CANTIDAD TOTAL ESTIMADA"/>
    <tableColumn id="5" xr3:uid="{E0194404-DB4B-4BCF-B93E-56679C9FA84F}" name="PRECIO UNITARIO ESTIMADO"/>
    <tableColumn id="6" xr3:uid="{60ED2350-C090-4589-845F-3BF00FD76A72}"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DF44D73-48C5-46E0-88BE-1141C2412724}" name="Table53" displayName="Table53" ref="A766:F780" totalsRowShown="0">
  <tableColumns count="6">
    <tableColumn id="1" xr3:uid="{D1FFD748-1954-47FE-A68F-5D5C85FFC875}" name="CÓDIGO CATÁLOGO"/>
    <tableColumn id="2" xr3:uid="{B6B4BCE1-9BA5-420D-BF9D-1CB33B60B969}" name="ARTÍCULO"/>
    <tableColumn id="3" xr3:uid="{BE3A69E5-3B63-46C3-99F4-53841E3DB0A9}" name="UNIDAD DE MEDIDA"/>
    <tableColumn id="4" xr3:uid="{9F82B91A-CF6E-4369-98FE-4ED4CA5D0660}" name="CANTIDAD TOTAL ESTIMADA"/>
    <tableColumn id="5" xr3:uid="{4B11468A-4840-4430-A98B-EA4B4583F3D4}" name="PRECIO UNITARIO ESTIMADO"/>
    <tableColumn id="6" xr3:uid="{803D5FC2-793E-41AA-B8E5-1A230C834DE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B7DE71C-FE5B-43AE-9EF8-483B007458B3}" name="Table54" displayName="Table54" ref="A790:F792" totalsRowShown="0">
  <tableColumns count="6">
    <tableColumn id="1" xr3:uid="{19122A38-6B0E-42FE-9698-A22016533281}" name="CÓDIGO CATÁLOGO"/>
    <tableColumn id="2" xr3:uid="{CF6A8602-E244-48CD-A7E9-584F5F424D4F}" name="ARTÍCULO"/>
    <tableColumn id="3" xr3:uid="{61986B0F-BB03-4FDC-AB38-F481B52A77C4}" name="UNIDAD DE MEDIDA">
      <calculatedColumnFormula>IFERROR(VLOOKUP("UD",'[1]Informacion '!P:Q,2,FALSE),"")</calculatedColumnFormula>
    </tableColumn>
    <tableColumn id="4" xr3:uid="{80226BA0-20E1-4ABF-B759-0840B71BB9F4}" name="CANTIDAD TOTAL ESTIMADA"/>
    <tableColumn id="5" xr3:uid="{CCA71199-61C1-4689-A231-83DB75FAEDDD}" name="PRECIO UNITARIO ESTIMADO"/>
    <tableColumn id="6" xr3:uid="{480B8740-3AF2-4B5F-A548-5384E108F8BB}"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F17DB3-0863-4E73-80DF-298D7600A4B4}" name="Table19" displayName="Table19" ref="A211:F213" totalsRowShown="0">
  <tableColumns count="6">
    <tableColumn id="1" xr3:uid="{87D4FCBB-FD20-4C5E-9F75-60CE1F12C095}" name="CÓDIGO CATÁLOGO"/>
    <tableColumn id="2" xr3:uid="{7B03CD64-A240-444F-AD16-1DD1B3A7C50A}" name="ARTÍCULO">
      <calculatedColumnFormula>IFERROR(INDEX(UNSPSCDes,MATCH(INDIRECT(ADDRESS(ROW(),COLUMN()-1,4)),UNSPSCCode,0)),IF(INDIRECT(ADDRESS(ROW(),COLUMN()-1,4))="52151504","Tazas o vasos o tapas desechables para uso doméstico",""))</calculatedColumnFormula>
    </tableColumn>
    <tableColumn id="3" xr3:uid="{534F6E4D-8346-4016-A061-0C6267590F4D}" name="UNIDAD DE MEDIDA">
      <calculatedColumnFormula>IFERROR(VLOOKUP("UD",'[1]Informacion '!P:Q,2,FALSE),"")</calculatedColumnFormula>
    </tableColumn>
    <tableColumn id="4" xr3:uid="{09B1D274-30AD-44EA-8EC6-4A640C7DB3AD}" name="CANTIDAD TOTAL ESTIMADA"/>
    <tableColumn id="5" xr3:uid="{C0735365-27D1-481E-BB19-A42B2CD94739}" name="PRECIO UNITARIO ESTIMADO"/>
    <tableColumn id="6" xr3:uid="{1DD154B1-931B-467C-AB94-1C8E5CC77DCD}"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E853C8C-10C5-4295-AA4A-39D6FB06305A}" name="Table48" displayName="Table48" ref="A615:F616" totalsRowShown="0">
  <tableColumns count="6">
    <tableColumn id="1" xr3:uid="{22918D36-2520-442D-B738-8BCE59B1078C}" name="CÓDIGO CATÁLOGO"/>
    <tableColumn id="2" xr3:uid="{8976929A-21EB-4A02-9666-EE891A284534}" name="ARTÍCULO">
      <calculatedColumnFormula>IFERROR(INDEX(UNSPSCDes,MATCH(INDIRECT(ADDRESS(ROW(),COLUMN()-1,4)),UNSPSCCode,0)),IF(INDIRECT(ADDRESS(ROW(),COLUMN()-1,4))="78180107","Reparación y mantenimiento de automóvil y de camiones ligeros",""))</calculatedColumnFormula>
    </tableColumn>
    <tableColumn id="3" xr3:uid="{F312E947-EF8C-4E44-8F29-433A6A5D3A69}" name="UNIDAD DE MEDIDA">
      <calculatedColumnFormula>IFERROR(VLOOKUP("UD",'[1]Informacion '!P:Q,2,FALSE),"")</calculatedColumnFormula>
    </tableColumn>
    <tableColumn id="4" xr3:uid="{B3C4B27A-1B2D-4430-A483-F869218294D0}" name="CANTIDAD TOTAL ESTIMADA"/>
    <tableColumn id="5" xr3:uid="{C3185685-F471-4BBA-9EF4-9ECEC50F2461}" name="PRECIO UNITARIO ESTIMADO"/>
    <tableColumn id="6" xr3:uid="{215A1F03-2E37-4260-B05F-529CC3EA289E}"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1166504-3721-4683-9219-ABED08A7308B}" name="Table58" displayName="Table58" ref="A840:F854" totalsRowShown="0">
  <tableColumns count="6">
    <tableColumn id="1" xr3:uid="{6ACC94D2-AB94-4EB7-A93E-03CBBBC4CEC6}" name="CÓDIGO CATÁLOGO"/>
    <tableColumn id="2" xr3:uid="{F9994744-ADE1-4034-949C-581749E6C54C}" name="ARTÍCULO"/>
    <tableColumn id="3" xr3:uid="{9F35BF65-5997-42D0-8A92-455104809F5A}" name="UNIDAD DE MEDIDA">
      <calculatedColumnFormula>IFERROR(VLOOKUP("UD",'[1]Informacion '!P:Q,2,FALSE),"")</calculatedColumnFormula>
    </tableColumn>
    <tableColumn id="4" xr3:uid="{CB987001-50F9-4670-851B-7D5ECC2B9531}" name="CANTIDAD TOTAL ESTIMADA"/>
    <tableColumn id="5" xr3:uid="{48AE737D-A286-451C-88DA-2B303FCCD953}" name="PRECIO UNITARIO ESTIMADO"/>
    <tableColumn id="6" xr3:uid="{812F5793-8367-4A2F-839A-D84EB803E06D}"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0928268-8ED6-4A58-87DA-CBF7D0607E9F}" name="Table38" displayName="Table38" ref="A476:F477" totalsRowShown="0">
  <tableColumns count="6">
    <tableColumn id="1" xr3:uid="{4DE81E42-D4AC-49AE-8159-A3126B4C186E}" name="CÓDIGO CATÁLOGO"/>
    <tableColumn id="2" xr3:uid="{F718A2D0-06F3-45C2-A84D-BAD944EB31D2}" name="ARTÍCULO">
      <calculatedColumnFormula>IFERROR(INDEX(UNSPSCDes,MATCH(INDIRECT(ADDRESS(ROW(),COLUMN()-1,4)),UNSPSCCode,0)),IF(INDIRECT(ADDRESS(ROW(),COLUMN()-1,4))="30171705","Vidrio laminado",""))</calculatedColumnFormula>
    </tableColumn>
    <tableColumn id="3" xr3:uid="{83CB54ED-AF35-4225-9C71-1D2FBE4BEE67}" name="UNIDAD DE MEDIDA">
      <calculatedColumnFormula>IFERROR(VLOOKUP("UD",'[1]Informacion '!P:Q,2,FALSE),"")</calculatedColumnFormula>
    </tableColumn>
    <tableColumn id="4" xr3:uid="{B6C1051E-3EF5-45DA-A594-494899E948D9}" name="CANTIDAD TOTAL ESTIMADA"/>
    <tableColumn id="5" xr3:uid="{42962BF4-6C46-4D15-BBB6-B1099D6E66B6}" name="PRECIO UNITARIO ESTIMADO"/>
    <tableColumn id="6" xr3:uid="{1B208ADD-4878-410F-872C-E7D319FB922D}"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5650F58-7909-46E2-88AA-CE7DCFDDB7A7}" name="Table39" displayName="Table39" ref="A487:F488" totalsRowShown="0">
  <tableColumns count="6">
    <tableColumn id="1" xr3:uid="{8237F0A5-70AB-4DE9-9266-CBC66CFE0C96}" name="CÓDIGO CATÁLOGO"/>
    <tableColumn id="2" xr3:uid="{F7A31F34-5206-4D63-AA65-67D0F0047939}" name="ARTÍCULO">
      <calculatedColumnFormula>IFERROR(INDEX(UNSPSCDes,MATCH(INDIRECT(ADDRESS(ROW(),COLUMN()-1,4)),UNSPSCCode,0)),IF(INDIRECT(ADDRESS(ROW(),COLUMN()-1,4))="72102103","Servicios de exterminación o fumigación",""))</calculatedColumnFormula>
    </tableColumn>
    <tableColumn id="3" xr3:uid="{1AF83940-58BD-4AE8-A649-1D7368880310}" name="UNIDAD DE MEDIDA">
      <calculatedColumnFormula>IFERROR(VLOOKUP("UD",'[1]Informacion '!P:Q,2,FALSE),"")</calculatedColumnFormula>
    </tableColumn>
    <tableColumn id="4" xr3:uid="{96F7930C-2C6A-4E59-9DB1-CDBB75AE25A8}" name="CANTIDAD TOTAL ESTIMADA"/>
    <tableColumn id="5" xr3:uid="{F42694CA-9610-4A51-93B5-F3A7554A9F67}" name="PRECIO UNITARIO ESTIMADO"/>
    <tableColumn id="6" xr3:uid="{1A9AE47D-61B4-40C0-99AC-5BA05810D642}"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1C97D57-95C6-4BB0-8FFE-8DEE9540409D}" name="Table29" displayName="Table29" ref="A353:F354" totalsRowShown="0">
  <tableColumns count="6">
    <tableColumn id="1" xr3:uid="{5B615530-AE32-4151-AE44-B34BE84C77E6}" name="CÓDIGO CATÁLOGO"/>
    <tableColumn id="2" xr3:uid="{09F2705B-35EF-467C-9EB2-44E692CED1A1}" name="ARTÍCULO">
      <calculatedColumnFormula>IFERROR(INDEX(UNSPSCDes,MATCH(INDIRECT(ADDRESS(ROW(),COLUMN()-1,4)),UNSPSCCode,0)),IF(INDIRECT(ADDRESS(ROW(),COLUMN()-1,4))="90101604","Servicios de cáterin en la obra o lugar de trabajo",""))</calculatedColumnFormula>
    </tableColumn>
    <tableColumn id="3" xr3:uid="{6EF72C5D-209C-4D5B-800B-74FA6FAE2F3B}" name="UNIDAD DE MEDIDA">
      <calculatedColumnFormula>IFERROR(VLOOKUP("UD",'[1]Informacion '!P:Q,2,FALSE),"")</calculatedColumnFormula>
    </tableColumn>
    <tableColumn id="4" xr3:uid="{B1A2B8B6-BCC7-44EC-B272-8F85B62166AF}" name="CANTIDAD TOTAL ESTIMADA"/>
    <tableColumn id="5" xr3:uid="{026E2778-655B-46EE-B148-7C9CCA458C6F}" name="PRECIO UNITARIO ESTIMADO"/>
    <tableColumn id="6" xr3:uid="{9BF3BA56-5629-4B86-974F-8974B01A7FE7}"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8DEE6F4-A4C1-45F4-8011-9A68BBC7BEFB}" name="Table37" displayName="Table37" ref="A465:F466" totalsRowShown="0">
  <tableColumns count="6">
    <tableColumn id="1" xr3:uid="{580E9AAD-1316-4E17-8D69-ABD378E2067D}" name="CÓDIGO CATÁLOGO"/>
    <tableColumn id="2" xr3:uid="{1C5ABF1E-AD89-4E8E-8895-B3FCBF796658}" name="ARTÍCULO">
      <calculatedColumnFormula>IFERROR(INDEX(UNSPSCDes,MATCH(INDIRECT(ADDRESS(ROW(),COLUMN()-1,4)),UNSPSCCode,0)),IF(INDIRECT(ADDRESS(ROW(),COLUMN()-1,4))="52101502","Alfombras",""))</calculatedColumnFormula>
    </tableColumn>
    <tableColumn id="3" xr3:uid="{464CA9E5-4BA8-4A47-998D-5BDAA5D37952}" name="UNIDAD DE MEDIDA">
      <calculatedColumnFormula>IFERROR(VLOOKUP("UD",'[1]Informacion '!P:Q,2,FALSE),"")</calculatedColumnFormula>
    </tableColumn>
    <tableColumn id="4" xr3:uid="{7AC662D8-BF76-4632-BEFE-10AC84DAFDD9}" name="CANTIDAD TOTAL ESTIMADA"/>
    <tableColumn id="5" xr3:uid="{49636569-7295-455C-8AB7-CD7672F2DE82}" name="PRECIO UNITARIO ESTIMADO"/>
    <tableColumn id="6" xr3:uid="{C0657983-CA9B-4CE0-A5D5-219E6B7C507E}"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EBC432D1-F2B7-49DE-AC2A-1EAB613DA42F}" name="Table44" displayName="Table44" ref="A543:F554" totalsRowShown="0">
  <tableColumns count="6">
    <tableColumn id="1" xr3:uid="{8491D636-86AF-4618-97A1-987018F79498}" name="CÓDIGO CATÁLOGO"/>
    <tableColumn id="2" xr3:uid="{94186CA3-26BD-4FDD-A52B-105BDD10B733}" name="ARTÍCULO"/>
    <tableColumn id="3" xr3:uid="{DE5FF4D6-D3D8-4B0B-B55E-8300ED81501D}" name="UNIDAD DE MEDIDA"/>
    <tableColumn id="4" xr3:uid="{98DD5A16-3F6F-440C-BE94-1934D688882D}" name="CANTIDAD TOTAL ESTIMADA"/>
    <tableColumn id="5" xr3:uid="{B63E4EAA-75F4-442E-B403-629FC18F27A9}" name="PRECIO UNITARIO ESTIMADO"/>
    <tableColumn id="6" xr3:uid="{AA9BEAF0-76CB-429D-B1EC-5E964DE0705D}"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7B57EDF-5C68-4A87-849A-5559AFFB53B2}" name="Table33" displayName="Table33" ref="A405:F418" totalsRowShown="0">
  <tableColumns count="6">
    <tableColumn id="1" xr3:uid="{D3601176-EBEC-4094-B165-52E0B90AD8CF}" name="CÓDIGO CATÁLOGO"/>
    <tableColumn id="2" xr3:uid="{09B7A9E7-4CDA-4E06-96AC-FB66A8C93375}" name="ARTÍCULO"/>
    <tableColumn id="3" xr3:uid="{77DF8C4B-B963-436B-B888-1C5349B2C55B}" name="UNIDAD DE MEDIDA"/>
    <tableColumn id="4" xr3:uid="{FE6E3436-7673-4956-81A0-04C4AD477DA8}" name="CANTIDAD TOTAL ESTIMADA"/>
    <tableColumn id="5" xr3:uid="{E04AA71A-7E4B-46C8-BC39-4AE6CF84F460}" name="PRECIO UNITARIO ESTIMADO"/>
    <tableColumn id="6" xr3:uid="{729087AE-E6E0-4B47-B4E4-4F888D8DC88E}"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9B97BE29-6CFE-44B4-8FDB-5FF53B57BF8D}" name="Table35" displayName="Table35" ref="A442:F443" totalsRowShown="0">
  <tableColumns count="6">
    <tableColumn id="1" xr3:uid="{A156DB64-9554-456B-A5DC-3E9C6A927968}" name="CÓDIGO CATÁLOGO"/>
    <tableColumn id="2" xr3:uid="{8E064DF6-780B-4E58-994D-261E1FEEBB75}" name="ARTÍCULO">
      <calculatedColumnFormula>IFERROR(INDEX(UNSPSCDes,MATCH(INDIRECT(ADDRESS(ROW(),COLUMN()-1,4)),UNSPSCCode,0)),IF(INDIRECT(ADDRESS(ROW(),COLUMN()-1,4))="14111507","Papel para impresora o fotocopiadora",""))</calculatedColumnFormula>
    </tableColumn>
    <tableColumn id="3" xr3:uid="{6A4C930A-728B-47A5-B54F-2E5F906EE56E}" name="UNIDAD DE MEDIDA">
      <calculatedColumnFormula>IFERROR(VLOOKUP("RESMA",'[1]Informacion '!P:Q,2,FALSE),"")</calculatedColumnFormula>
    </tableColumn>
    <tableColumn id="4" xr3:uid="{0784C8E5-2DE6-43BB-9551-BCDD121F2749}" name="CANTIDAD TOTAL ESTIMADA"/>
    <tableColumn id="5" xr3:uid="{699CE87A-010F-4F9A-914E-F7A62A994F9F}" name="PRECIO UNITARIO ESTIMADO"/>
    <tableColumn id="6" xr3:uid="{F2275DF5-A6DF-4CAF-A486-9336B00B2287}"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92B8BDF-5E74-46B2-AA6A-1A03BF18791E}" name="Table13" displayName="Table13" ref="A132:F138" totalsRowShown="0">
  <tableColumns count="6">
    <tableColumn id="1" xr3:uid="{78BF51D9-35E1-4BCB-B40A-E97A511D5A51}" name="CÓDIGO CATÁLOGO"/>
    <tableColumn id="2" xr3:uid="{3EF741BF-FC34-46DC-9C37-A21D8991B1E9}" name="ARTÍCULO">
      <calculatedColumnFormula>IFERROR(INDEX(UNSPSCDes,MATCH(INDIRECT(ADDRESS(ROW(),COLUMN()-1,4)),UNSPSCCode,0)),IF(INDIRECT(ADDRESS(ROW(),COLUMN()-1,4))="80131502","Arrendamiento de instalaciones comerciales o industriales",""))</calculatedColumnFormula>
    </tableColumn>
    <tableColumn id="3" xr3:uid="{673CFA17-0DFF-43E1-B9BE-226DB4B4ED6A}" name="UNIDAD DE MEDIDA">
      <calculatedColumnFormula>IFERROR(VLOOKUP("UD",'[1]Informacion '!P:Q,2,FALSE),"")</calculatedColumnFormula>
    </tableColumn>
    <tableColumn id="4" xr3:uid="{556C3079-7E68-47FC-A149-DB3CA4024C06}" name="CANTIDAD TOTAL ESTIMADA"/>
    <tableColumn id="5" xr3:uid="{949FBD5E-5724-4544-A681-EAB7A9883DD5}" name="PRECIO UNITARIO ESTIMADO"/>
    <tableColumn id="6" xr3:uid="{14B90B96-559D-49BD-8D01-2B36B8F14B21}"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670719-3C3D-4D43-A99F-40E11BE0818A}" name="Table24" displayName="Table24" ref="A276:F277" totalsRowShown="0">
  <tableColumns count="6">
    <tableColumn id="1" xr3:uid="{9DF3AB69-8BF9-4D61-8B06-54977D75CE52}" name="CÓDIGO CATÁLOGO"/>
    <tableColumn id="2" xr3:uid="{6440A1EF-909C-4E4A-A858-F02055325F20}" name="ARTÍCULO">
      <calculatedColumnFormula>IFERROR(INDEX(UNSPSCDes,MATCH(INDIRECT(ADDRESS(ROW(),COLUMN()-1,4)),UNSPSCCode,0)),IF(INDIRECT(ADDRESS(ROW(),COLUMN()-1,4))="44111510","Organizadores o accesorios de colgar",""))</calculatedColumnFormula>
    </tableColumn>
    <tableColumn id="3" xr3:uid="{51B555A7-5C9E-4E6B-A16E-B02045B685E2}" name="UNIDAD DE MEDIDA">
      <calculatedColumnFormula>IFERROR(VLOOKUP("UD",'[1]Informacion '!P:Q,2,FALSE),"")</calculatedColumnFormula>
    </tableColumn>
    <tableColumn id="4" xr3:uid="{E91423AB-4B11-415B-AB81-D993A1CC8C22}" name="CANTIDAD TOTAL ESTIMADA"/>
    <tableColumn id="5" xr3:uid="{4B5FE432-BA8E-4253-890F-1A42A126F012}" name="PRECIO UNITARIO ESTIMADO"/>
    <tableColumn id="6" xr3:uid="{3FB26EB5-0026-4416-B9C0-4829BA1D88C1}"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2B7F2CB-D285-4BC7-9E39-1EA6A6DFE650}" name="Table22" displayName="Table22" ref="A254:F255" totalsRowShown="0">
  <tableColumns count="6">
    <tableColumn id="1" xr3:uid="{54A54A45-C4B4-4AD9-BAD7-7B1BEA6FEFED}" name="CÓDIGO CATÁLOGO"/>
    <tableColumn id="2" xr3:uid="{65F96324-7D28-4633-B9E5-46ACD73F70F6}" name="ARTÍCULO">
      <calculatedColumnFormula>IFERROR(INDEX(UNSPSCDes,MATCH(INDIRECT(ADDRESS(ROW(),COLUMN()-1,4)),UNSPSCCode,0)),IF(INDIRECT(ADDRESS(ROW(),COLUMN()-1,4))="39121549","Termostato",""))</calculatedColumnFormula>
    </tableColumn>
    <tableColumn id="3" xr3:uid="{5C5BD425-6221-4089-9C25-41AF02E18C81}" name="UNIDAD DE MEDIDA">
      <calculatedColumnFormula>IFERROR(VLOOKUP("UD",'[1]Informacion '!P:Q,2,FALSE),"")</calculatedColumnFormula>
    </tableColumn>
    <tableColumn id="4" xr3:uid="{A353D28B-2EB2-4AA9-9138-4789459D1FC4}" name="CANTIDAD TOTAL ESTIMADA"/>
    <tableColumn id="5" xr3:uid="{C471D723-0B62-4552-A620-6E18D9463D85}" name="PRECIO UNITARIO ESTIMADO"/>
    <tableColumn id="6" xr3:uid="{DAF61173-4AB4-4EA3-934F-B45C96C6A2A8}"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535B183-A517-4BAB-85A4-BF37363AA127}" name="Table17" displayName="Table17" ref="A182:F184" totalsRowShown="0">
  <tableColumns count="6">
    <tableColumn id="1" xr3:uid="{00216551-3B37-4132-942F-9C2752C78F17}" name="CÓDIGO CATÁLOGO"/>
    <tableColumn id="2" xr3:uid="{37652604-9671-4329-84B2-7EAD7B0935BE}" name="ARTÍCULO">
      <calculatedColumnFormula>IFERROR(INDEX(UNSPSCDes,MATCH(INDIRECT(ADDRESS(ROW(),COLUMN()-1,4)),UNSPSCCode,0)),IF(INDIRECT(ADDRESS(ROW(),COLUMN()-1,4))="50202301","Agua",""))</calculatedColumnFormula>
    </tableColumn>
    <tableColumn id="3" xr3:uid="{461EEB60-7325-4B2B-9BE1-934F27992940}" name="UNIDAD DE MEDIDA">
      <calculatedColumnFormula>IFERROR(VLOOKUP("UD",'[1]Informacion '!P:Q,2,FALSE),"")</calculatedColumnFormula>
    </tableColumn>
    <tableColumn id="4" xr3:uid="{80E1C3AD-5823-44A7-BE6F-4DC0A83E2B4E}" name="CANTIDAD TOTAL ESTIMADA"/>
    <tableColumn id="5" xr3:uid="{F702FFC2-820E-4820-A024-53A975EB7B54}" name="PRECIO UNITARIO ESTIMADO"/>
    <tableColumn id="6" xr3:uid="{A0275DE1-BC87-4A6F-933F-0F807B0BFDCE}"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214EE87-326C-477A-87B7-565530EDE532}" name="Table18" displayName="Table18" ref="A194:F201" totalsRowShown="0">
  <tableColumns count="6">
    <tableColumn id="1" xr3:uid="{5979FC83-1125-41AA-8F79-D02EB969A579}" name="CÓDIGO CATÁLOGO"/>
    <tableColumn id="2" xr3:uid="{4864401E-2C0E-45F5-A2E4-D44B39A6BC9A}" name="ARTÍCULO"/>
    <tableColumn id="3" xr3:uid="{9E860251-1661-470C-BA0C-0E025CDE42A7}" name="UNIDAD DE MEDIDA">
      <calculatedColumnFormula>IFERROR(VLOOKUP("UD",'[1]Informacion '!P:Q,2,FALSE),"")</calculatedColumnFormula>
    </tableColumn>
    <tableColumn id="4" xr3:uid="{33159AD5-316B-4B3F-89B6-6B553298EA6B}" name="CANTIDAD TOTAL ESTIMADA"/>
    <tableColumn id="5" xr3:uid="{A54339C1-0A32-4EE0-8AFE-28AB3D620298}" name="PRECIO UNITARIO ESTIMADO"/>
    <tableColumn id="6" xr3:uid="{7BA5FC88-8AE2-4EA8-9A81-030A71DDD7A5}"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EACC9500-4959-4F38-9FF1-D1577C79D7F1}" name="Table16" displayName="Table16" ref="A170:F172" totalsRowShown="0">
  <tableColumns count="6">
    <tableColumn id="1" xr3:uid="{86D68394-852D-4561-B776-F835888928AF}" name="CÓDIGO CATÁLOGO"/>
    <tableColumn id="2" xr3:uid="{89A67049-610C-4FFC-95B7-E459379D8926}" name="ARTÍCULO"/>
    <tableColumn id="3" xr3:uid="{4AFD74E1-BB51-423B-848B-35567584537B}" name="UNIDAD DE MEDIDA">
      <calculatedColumnFormula>IFERROR(VLOOKUP("UD",'[1]Informacion '!P:Q,2,FALSE),"")</calculatedColumnFormula>
    </tableColumn>
    <tableColumn id="4" xr3:uid="{A372C60A-3B7E-4609-91B7-9304D6450FD6}" name="CANTIDAD TOTAL ESTIMADA"/>
    <tableColumn id="5" xr3:uid="{0AA8D75A-E575-4E0D-9A7E-9F85F45FE555}" name="PRECIO UNITARIO ESTIMADO"/>
    <tableColumn id="6" xr3:uid="{0B62C3C3-D749-424D-B701-AD11D1023567}"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52308A9F-6AF3-4A6F-9F30-587834413229}" name="Table51" displayName="Table51" ref="A742:F744" totalsRowShown="0">
  <tableColumns count="6">
    <tableColumn id="1" xr3:uid="{BC0E17F7-A248-4A2C-A062-C9993D2CE142}" name="CÓDIGO CATÁLOGO"/>
    <tableColumn id="2" xr3:uid="{87661822-5742-484D-9421-197EED26701C}" name="ARTÍCULO"/>
    <tableColumn id="3" xr3:uid="{7B0849BE-D2AA-4113-9615-322130998524}" name="UNIDAD DE MEDIDA">
      <calculatedColumnFormula>IFERROR(VLOOKUP("UD",'[1]Informacion '!P:Q,2,FALSE),"")</calculatedColumnFormula>
    </tableColumn>
    <tableColumn id="4" xr3:uid="{D573C0EC-35CB-4835-B563-3C8B766D17FC}" name="CANTIDAD TOTAL ESTIMADA"/>
    <tableColumn id="5" xr3:uid="{84F4ED65-5448-4E2A-8C00-97DB2C4F169F}" name="PRECIO UNITARIO ESTIMADO"/>
    <tableColumn id="6" xr3:uid="{FFD4E39B-5FEF-496D-B854-BDAD0F34F444}"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0805E7A-2162-41A9-B9A7-C7ED2EBA1555}" name="Table7" displayName="Table7" ref="A59:F61" totalsRowShown="0">
  <tableColumns count="6">
    <tableColumn id="1" xr3:uid="{05282769-EABE-42EE-BC69-5708797135ED}" name="CÓDIGO CATÁLOGO"/>
    <tableColumn id="2" xr3:uid="{EE7C434F-5DEE-4541-AD31-7F80A940A0D6}" name="ARTÍCULO">
      <calculatedColumnFormula>IFERROR(INDEX(UNSPSCDes,MATCH(INDIRECT(ADDRESS(ROW(),COLUMN()-1,4)),UNSPSCCode,0)),IF(INDIRECT(ADDRESS(ROW(),COLUMN()-1,4))="44102912","Soluciones limpiadoras para equipos de oficina",""))</calculatedColumnFormula>
    </tableColumn>
    <tableColumn id="3" xr3:uid="{37960856-7B28-4992-80AE-A64E5ECEC73E}" name="UNIDAD DE MEDIDA">
      <calculatedColumnFormula>IFERROR(VLOOKUP("UD",'[1]Informacion '!P:Q,2,FALSE),"")</calculatedColumnFormula>
    </tableColumn>
    <tableColumn id="4" xr3:uid="{A122DB25-53FC-4DA5-B37A-188AE69D038B}" name="CANTIDAD TOTAL ESTIMADA"/>
    <tableColumn id="5" xr3:uid="{F293E4FC-2217-4A08-9442-25DE85ED5337}" name="PRECIO UNITARIO ESTIMADO"/>
    <tableColumn id="6" xr3:uid="{8EF09FF2-B5E3-4E90-BDA4-910F9C11D01A}"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AE3AC30-312D-4EF3-BBDA-287EDEC539D4}" name="Table25" displayName="Table25" ref="A287:F288" totalsRowShown="0">
  <tableColumns count="6">
    <tableColumn id="1" xr3:uid="{4886E55E-8D47-4279-AB40-8D2407796BCB}" name="CÓDIGO CATÁLOGO"/>
    <tableColumn id="2" xr3:uid="{49784626-3A0F-4226-9F76-818190233A1A}" name="ARTÍCULO">
      <calculatedColumnFormula>IFERROR(INDEX(UNSPSCDes,MATCH(INDIRECT(ADDRESS(ROW(),COLUMN()-1,4)),UNSPSCCode,0)),IF(INDIRECT(ADDRESS(ROW(),COLUMN()-1,4))="81112501","Servicio de licencias de programas informáticos",""))</calculatedColumnFormula>
    </tableColumn>
    <tableColumn id="3" xr3:uid="{5A5567B6-07A5-4611-AFB2-183C92EEA9DB}" name="UNIDAD DE MEDIDA">
      <calculatedColumnFormula>IFERROR(VLOOKUP("UD",'[1]Informacion '!P:Q,2,FALSE),"")</calculatedColumnFormula>
    </tableColumn>
    <tableColumn id="4" xr3:uid="{FD4C6165-1D61-4442-AFA0-B9008D05A924}" name="CANTIDAD TOTAL ESTIMADA"/>
    <tableColumn id="5" xr3:uid="{F3BA7A33-3750-45BC-ADC9-18707E59D862}" name="PRECIO UNITARIO ESTIMADO"/>
    <tableColumn id="6" xr3:uid="{1322C606-956F-47D1-A6C0-38ED65977BB5}"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E4AA499-06D6-4C25-82CF-98D0C0E7644C}" name="Table34" displayName="Table34" ref="A428:F432" totalsRowShown="0">
  <tableColumns count="6">
    <tableColumn id="1" xr3:uid="{C7B2FB7A-AEE2-4E8B-A2F9-2A232883C8D0}" name="CÓDIGO CATÁLOGO"/>
    <tableColumn id="2" xr3:uid="{6999087F-D7CC-47A2-A62B-CFB64A422B06}" name="ARTÍCULO"/>
    <tableColumn id="3" xr3:uid="{65CF4B5D-8D20-4706-8DCD-A486285CC384}" name="UNIDAD DE MEDIDA">
      <calculatedColumnFormula>IFERROR(VLOOKUP("UD",'[1]Informacion '!P:Q,2,FALSE),"")</calculatedColumnFormula>
    </tableColumn>
    <tableColumn id="4" xr3:uid="{A5228CFE-21C6-4998-B3F1-1E032B3E61A4}" name="CANTIDAD TOTAL ESTIMADA"/>
    <tableColumn id="5" xr3:uid="{F57CAF8D-62DF-401D-876C-474921143430}" name="PRECIO UNITARIO ESTIMADO"/>
    <tableColumn id="6" xr3:uid="{7F87CBDA-9C09-4894-B0C8-6630DA18A4FA}"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EAF836-335F-46C9-97FF-DE4D1E6809AA}" name="Table42" displayName="Table42" ref="A520:F521" totalsRowShown="0">
  <tableColumns count="6">
    <tableColumn id="1" xr3:uid="{CD460D45-482E-4E69-A006-BA105FE4AD8C}" name="CÓDIGO CATÁLOGO"/>
    <tableColumn id="2" xr3:uid="{F1D7F736-0A7B-4FC5-A649-6E0B79FDF046}" name="ARTÍCULO">
      <calculatedColumnFormula>IFERROR(INDEX(UNSPSCDes,MATCH(INDIRECT(ADDRESS(ROW(),COLUMN()-1,4)),UNSPSCCode,0)),IF(INDIRECT(ADDRESS(ROW(),COLUMN()-1,4))="15101506","Gasolina",""))</calculatedColumnFormula>
    </tableColumn>
    <tableColumn id="3" xr3:uid="{C0657689-3C8E-42F6-AAAA-ADDE9F68E197}" name="UNIDAD DE MEDIDA">
      <calculatedColumnFormula>IFERROR(VLOOKUP("UD",'[1]Informacion '!P:Q,2,FALSE),"")</calculatedColumnFormula>
    </tableColumn>
    <tableColumn id="4" xr3:uid="{AA8B0055-6381-4084-9ABD-ECE4D3CD8C12}" name="CANTIDAD TOTAL ESTIMADA"/>
    <tableColumn id="5" xr3:uid="{39BB5428-7CA0-458F-9672-C0118AE4CFEF}" name="PRECIO UNITARIO ESTIMADO"/>
    <tableColumn id="6" xr3:uid="{AAD5639A-8F86-4574-AEBA-7346279B0729}"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87945BF-F3A3-48A5-8127-B7507D3F3EF8}" name="Table40" displayName="Table40" ref="A498:F499" totalsRowShown="0">
  <tableColumns count="6">
    <tableColumn id="1" xr3:uid="{5BFF433A-036A-4BCF-A0CD-5FE8F8F19EC8}" name="CÓDIGO CATÁLOGO"/>
    <tableColumn id="2" xr3:uid="{33F03A75-91D5-4625-9A7B-ACF761A62530}" name="ARTÍCULO">
      <calculatedColumnFormula>IFERROR(INDEX(UNSPSCDes,MATCH(INDIRECT(ADDRESS(ROW(),COLUMN()-1,4)),UNSPSCCode,0)),IF(INDIRECT(ADDRESS(ROW(),COLUMN()-1,4))="72101517","Servicio de mantenimiento o reparación de generadores portátiles",""))</calculatedColumnFormula>
    </tableColumn>
    <tableColumn id="3" xr3:uid="{0FCB2E32-C9D9-49B7-9845-8B127D35B5EA}" name="UNIDAD DE MEDIDA">
      <calculatedColumnFormula>IFERROR(VLOOKUP("UD",'[1]Informacion '!P:Q,2,FALSE),"")</calculatedColumnFormula>
    </tableColumn>
    <tableColumn id="4" xr3:uid="{70518CED-966C-4F11-8FFF-76A5C46BFC8A}" name="CANTIDAD TOTAL ESTIMADA"/>
    <tableColumn id="5" xr3:uid="{3BFC78B9-346A-494B-8426-B6A9BE68B02C}" name="PRECIO UNITARIO ESTIMADO"/>
    <tableColumn id="6" xr3:uid="{0B6BD9B5-4D33-46B4-9DF8-84FF83675652}"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492B73-D80E-4976-807C-D67F925610B8}" name="Table5" displayName="Table5" ref="A33:F35" totalsRowShown="0">
  <tableColumns count="6">
    <tableColumn id="1" xr3:uid="{42797D6D-6D9B-42BE-94E7-D0DB37C3D8FE}" name="CÓDIGO CATÁLOGO"/>
    <tableColumn id="2" xr3:uid="{39A97D78-FA07-481A-988D-B25EEC3C708E}" name="ARTÍCULO">
      <calculatedColumnFormula>IFERROR(INDEX(UNSPSCDes,MATCH(INDIRECT(ADDRESS(ROW(),COLUMN()-1,4)),UNSPSCCode,0)),IF(INDIRECT(ADDRESS(ROW(),COLUMN()-1,4))="76111604","Encerado de pisos y limpieza de tapetes",""))</calculatedColumnFormula>
    </tableColumn>
    <tableColumn id="3" xr3:uid="{B8888E99-292E-4B0C-BDA6-671C8F748A2D}" name="UNIDAD DE MEDIDA">
      <calculatedColumnFormula>IFERROR(VLOOKUP("UD",'[1]Informacion '!P:Q,2,FALSE),"")</calculatedColumnFormula>
    </tableColumn>
    <tableColumn id="4" xr3:uid="{04F616F8-07FD-4196-A66C-79F9D6A4A74B}" name="CANTIDAD TOTAL ESTIMADA"/>
    <tableColumn id="5" xr3:uid="{81FF87D8-6D50-4EEF-BC3C-B98F6480B09D}" name="PRECIO UNITARIO ESTIMADO"/>
    <tableColumn id="6" xr3:uid="{1E02BA76-2F84-4DA1-BEBC-47DFA930D36F}"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55" Type="http://schemas.openxmlformats.org/officeDocument/2006/relationships/table" Target="../tables/table52.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2" Type="http://schemas.openxmlformats.org/officeDocument/2006/relationships/drawing" Target="../drawings/drawing1.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41" Type="http://schemas.openxmlformats.org/officeDocument/2006/relationships/table" Target="../tables/table38.xml"/><Relationship Id="rId54" Type="http://schemas.openxmlformats.org/officeDocument/2006/relationships/table" Target="../tables/table5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8" Type="http://schemas.openxmlformats.org/officeDocument/2006/relationships/table" Target="../tables/table55.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8" Type="http://schemas.openxmlformats.org/officeDocument/2006/relationships/table" Target="../tables/table5.xml"/><Relationship Id="rId51" Type="http://schemas.openxmlformats.org/officeDocument/2006/relationships/table" Target="../tables/table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123D-3564-42C0-9B9A-AEB2C95C5C2D}">
  <dimension ref="A1:I874"/>
  <sheetViews>
    <sheetView tabSelected="1" topLeftCell="A845" workbookViewId="0">
      <selection activeCell="G845" sqref="G845"/>
    </sheetView>
  </sheetViews>
  <sheetFormatPr defaultColWidth="9.140625" defaultRowHeight="14.25" customHeight="1" x14ac:dyDescent="0.25"/>
  <cols>
    <col min="1" max="1" width="24.28515625" style="22" customWidth="1"/>
    <col min="2" max="2" width="46.5703125" style="22" customWidth="1"/>
    <col min="3" max="3" width="19" style="22" customWidth="1"/>
    <col min="4" max="4" width="24" style="22" customWidth="1"/>
    <col min="5" max="6" width="24.28515625" style="22" customWidth="1"/>
    <col min="7" max="7" width="14.28515625" style="22" customWidth="1"/>
    <col min="8" max="8" width="22.5703125" style="22" customWidth="1"/>
    <col min="9" max="9" width="72.85546875" style="22" customWidth="1"/>
    <col min="10" max="10" width="14.28515625" style="22" customWidth="1"/>
    <col min="11" max="16384" width="9.140625" style="22"/>
  </cols>
  <sheetData>
    <row r="1" spans="1:9" s="5" customFormat="1" ht="19.5" thickTop="1" x14ac:dyDescent="0.25">
      <c r="A1" s="47"/>
      <c r="B1" s="1"/>
      <c r="C1" s="2"/>
      <c r="D1" s="2"/>
      <c r="E1" s="3"/>
      <c r="F1" s="1"/>
      <c r="G1" s="4"/>
      <c r="H1" s="4"/>
      <c r="I1" s="4"/>
    </row>
    <row r="2" spans="1:9" s="5" customFormat="1" ht="23.25" x14ac:dyDescent="0.25">
      <c r="A2" s="47"/>
      <c r="B2" s="48" t="s">
        <v>0</v>
      </c>
      <c r="C2" s="48"/>
      <c r="D2" s="48"/>
      <c r="E2" s="48"/>
      <c r="F2" s="6"/>
      <c r="G2" s="4"/>
      <c r="H2" s="4"/>
      <c r="I2" s="4"/>
    </row>
    <row r="3" spans="1:9" s="5" customFormat="1" ht="21" customHeight="1" x14ac:dyDescent="0.25">
      <c r="A3" s="47"/>
      <c r="B3" s="49" t="str">
        <f>"AÑO "&amp;E11</f>
        <v>AÑO 2025</v>
      </c>
      <c r="C3" s="49"/>
      <c r="D3" s="49"/>
      <c r="E3" s="49"/>
      <c r="F3" s="7"/>
      <c r="G3" s="4"/>
      <c r="H3" s="4"/>
      <c r="I3" s="4"/>
    </row>
    <row r="4" spans="1:9" s="5" customFormat="1" ht="18.75" x14ac:dyDescent="0.25">
      <c r="A4" s="47"/>
      <c r="B4" s="1"/>
      <c r="C4" s="1"/>
      <c r="D4" s="1"/>
      <c r="E4" s="8"/>
      <c r="F4" s="1"/>
      <c r="G4" s="4"/>
      <c r="H4" s="4"/>
      <c r="I4" s="4"/>
    </row>
    <row r="5" spans="1:9" s="5" customFormat="1" ht="21.75" thickBot="1" x14ac:dyDescent="0.3">
      <c r="A5" s="9"/>
      <c r="B5" s="9"/>
      <c r="C5" s="10"/>
      <c r="D5" s="10"/>
      <c r="E5" s="10"/>
      <c r="F5" s="10"/>
      <c r="G5" s="4"/>
      <c r="H5" s="4"/>
      <c r="I5" s="4"/>
    </row>
    <row r="6" spans="1:9" s="4" customFormat="1" ht="12.75" thickBot="1" x14ac:dyDescent="0.3">
      <c r="A6" s="11" t="s">
        <v>1</v>
      </c>
      <c r="B6" s="12"/>
      <c r="C6" s="13"/>
      <c r="D6" s="14" t="s">
        <v>2</v>
      </c>
      <c r="E6" s="41" t="s">
        <v>3</v>
      </c>
      <c r="F6" s="42"/>
    </row>
    <row r="7" spans="1:9" s="4" customFormat="1" ht="12.75" thickBot="1" x14ac:dyDescent="0.3">
      <c r="A7" s="15" t="s">
        <v>4</v>
      </c>
      <c r="B7" s="12"/>
      <c r="C7" s="12"/>
      <c r="D7" s="14" t="s">
        <v>5</v>
      </c>
      <c r="E7" s="41" t="s">
        <v>6</v>
      </c>
      <c r="F7" s="42"/>
    </row>
    <row r="8" spans="1:9" s="4" customFormat="1" ht="12.75" thickBot="1" x14ac:dyDescent="0.3">
      <c r="A8" s="12"/>
      <c r="B8" s="12"/>
      <c r="C8" s="12"/>
      <c r="D8" s="14" t="s">
        <v>7</v>
      </c>
      <c r="E8" s="41" t="s">
        <v>8</v>
      </c>
      <c r="F8" s="42"/>
    </row>
    <row r="9" spans="1:9" s="4" customFormat="1" ht="12.75" thickBot="1" x14ac:dyDescent="0.3">
      <c r="A9" s="16" t="s">
        <v>9</v>
      </c>
      <c r="B9" s="17">
        <f ca="1">COUNTIFS(TotalEstColumnName,"="&amp;TotalEstLabel,TotalEstColumnValue,"&gt;0")</f>
        <v>56</v>
      </c>
      <c r="C9" s="12"/>
      <c r="D9" s="14" t="s">
        <v>10</v>
      </c>
      <c r="E9" s="41" t="s">
        <v>11</v>
      </c>
      <c r="F9" s="42"/>
    </row>
    <row r="10" spans="1:9" s="4" customFormat="1" ht="12.75" thickBot="1" x14ac:dyDescent="0.3">
      <c r="A10" s="18" t="s">
        <v>12</v>
      </c>
      <c r="B10" s="19">
        <f ca="1">SUMIF(TotalEstColumnName,"="&amp;TotalEstLabel,TotalEstColumnValue)</f>
        <v>31168124.779999997</v>
      </c>
      <c r="C10" s="12"/>
      <c r="D10" s="14" t="s">
        <v>13</v>
      </c>
      <c r="E10" s="41" t="s">
        <v>14</v>
      </c>
      <c r="F10" s="42"/>
    </row>
    <row r="11" spans="1:9" s="4" customFormat="1" ht="12.75" thickBot="1" x14ac:dyDescent="0.3">
      <c r="A11" s="12"/>
      <c r="B11" s="12"/>
      <c r="C11" s="12"/>
      <c r="D11" s="14" t="s">
        <v>15</v>
      </c>
      <c r="E11" s="43" t="s">
        <v>16</v>
      </c>
      <c r="F11" s="44"/>
    </row>
    <row r="12" spans="1:9" s="4" customFormat="1" ht="12.75" thickBot="1" x14ac:dyDescent="0.3">
      <c r="A12" s="20"/>
      <c r="B12" s="20"/>
      <c r="C12" s="20"/>
      <c r="D12" s="14" t="s">
        <v>17</v>
      </c>
      <c r="E12" s="45" t="s">
        <v>18</v>
      </c>
      <c r="F12" s="46"/>
    </row>
    <row r="15" spans="1:9" ht="33.950000000000003" customHeight="1" thickBot="1" x14ac:dyDescent="0.3">
      <c r="A15" s="21" t="s">
        <v>19</v>
      </c>
      <c r="B15" s="21" t="s">
        <v>20</v>
      </c>
      <c r="C15" s="21" t="s">
        <v>21</v>
      </c>
      <c r="D15" s="21" t="s">
        <v>22</v>
      </c>
      <c r="E15" s="21" t="s">
        <v>23</v>
      </c>
      <c r="F15" s="21" t="s">
        <v>24</v>
      </c>
    </row>
    <row r="16" spans="1:9" ht="14.25" customHeight="1" thickBot="1" x14ac:dyDescent="0.3">
      <c r="A16" s="23" t="s">
        <v>25</v>
      </c>
      <c r="B16" s="23" t="s">
        <v>25</v>
      </c>
      <c r="C16" s="23" t="s">
        <v>26</v>
      </c>
      <c r="D16" s="23" t="s">
        <v>27</v>
      </c>
      <c r="E16" s="23" t="s">
        <v>28</v>
      </c>
      <c r="F16" s="23"/>
    </row>
    <row r="17" spans="1:6" ht="14.25" customHeight="1" thickBot="1" x14ac:dyDescent="0.3">
      <c r="A17" s="39" t="s">
        <v>29</v>
      </c>
      <c r="B17" s="24" t="s">
        <v>30</v>
      </c>
      <c r="C17" s="25">
        <v>45964</v>
      </c>
      <c r="D17" s="39" t="s">
        <v>31</v>
      </c>
      <c r="E17" s="26" t="s">
        <v>32</v>
      </c>
      <c r="F17" s="27" t="s">
        <v>33</v>
      </c>
    </row>
    <row r="18" spans="1:6" ht="14.25" customHeight="1" thickBot="1" x14ac:dyDescent="0.3">
      <c r="A18" s="40"/>
      <c r="B18" s="24" t="s">
        <v>34</v>
      </c>
      <c r="C18" s="28">
        <f>IF(C17="","",IF(AND(MONTH(C17)&gt;=1,MONTH(C17)&lt;=3),1,IF(AND(MONTH(C17)&gt;=4,MONTH(C17)&lt;=6),2,IF(AND(MONTH(C17)&gt;=7,MONTH(C17)&lt;=9),3,4))))</f>
        <v>4</v>
      </c>
      <c r="D18" s="40"/>
      <c r="E18" s="26" t="s">
        <v>35</v>
      </c>
      <c r="F18" s="27" t="s">
        <v>36</v>
      </c>
    </row>
    <row r="19" spans="1:6" ht="14.25" customHeight="1" thickBot="1" x14ac:dyDescent="0.3">
      <c r="A19" s="40"/>
      <c r="B19" s="24" t="s">
        <v>37</v>
      </c>
      <c r="C19" s="25">
        <v>45978</v>
      </c>
      <c r="D19" s="40"/>
      <c r="E19" s="26" t="s">
        <v>38</v>
      </c>
      <c r="F19" s="27" t="s">
        <v>36</v>
      </c>
    </row>
    <row r="20" spans="1:6" ht="14.25" customHeight="1" thickBot="1" x14ac:dyDescent="0.3">
      <c r="A20" s="40"/>
      <c r="B20" s="24" t="s">
        <v>34</v>
      </c>
      <c r="C20" s="28">
        <f>IF(C19="","",IF(AND(MONTH(C19)&gt;=1,MONTH(C19)&lt;=3),1,IF(AND(MONTH(C19)&gt;=4,MONTH(C19)&lt;=6),2,IF(AND(MONTH(C19)&gt;=7,MONTH(C19)&lt;=9),3,4))))</f>
        <v>4</v>
      </c>
      <c r="D20" s="40"/>
      <c r="E20" s="26" t="s">
        <v>39</v>
      </c>
      <c r="F20" s="27"/>
    </row>
    <row r="22" spans="1:6" ht="14.25" customHeight="1" thickBot="1" x14ac:dyDescent="0.3">
      <c r="A22" s="29" t="s">
        <v>40</v>
      </c>
      <c r="B22" s="29" t="s">
        <v>41</v>
      </c>
      <c r="C22" s="29" t="s">
        <v>42</v>
      </c>
      <c r="D22" s="29" t="s">
        <v>43</v>
      </c>
      <c r="E22" s="29" t="s">
        <v>44</v>
      </c>
      <c r="F22" s="29" t="s">
        <v>45</v>
      </c>
    </row>
    <row r="23" spans="1:6" ht="14.25" customHeight="1" x14ac:dyDescent="0.25">
      <c r="A23" s="30" t="s">
        <v>46</v>
      </c>
      <c r="B23" s="31" t="str">
        <f ca="1">IFERROR(INDEX(UNSPSCDes,MATCH(INDIRECT(ADDRESS(ROW(),COLUMN()-1,4)),UNSPSCCode,0)),IF(INDIRECT(ADDRESS(ROW(),COLUMN()-1,4))="72102201","Instalación o servicio de sistemas de energía eléctrica",""))</f>
        <v>Instalación o servicio de sistemas de energía eléctrica</v>
      </c>
      <c r="C23" s="32" t="str">
        <f>IFERROR(VLOOKUP("UD",'[1]Informacion '!P:Q,2,FALSE),"")</f>
        <v>Unidad</v>
      </c>
      <c r="D23" s="30">
        <v>1</v>
      </c>
      <c r="E23" s="33">
        <v>106200</v>
      </c>
      <c r="F23" s="34">
        <f ca="1">INDIRECT(ADDRESS(ROW(),COLUMN()-2,4))*INDIRECT(ADDRESS(ROW(),COLUMN()-1,4))</f>
        <v>106200</v>
      </c>
    </row>
    <row r="24" spans="1:6" ht="14.25" customHeight="1" x14ac:dyDescent="0.25">
      <c r="E24" s="35" t="s">
        <v>47</v>
      </c>
      <c r="F24" s="36">
        <f ca="1">SUM(Table4[MONTO TOTAL ESTIMADO])</f>
        <v>106200</v>
      </c>
    </row>
    <row r="26" spans="1:6" ht="33.950000000000003" customHeight="1" thickBot="1" x14ac:dyDescent="0.3">
      <c r="A26" s="21" t="s">
        <v>19</v>
      </c>
      <c r="B26" s="21" t="s">
        <v>20</v>
      </c>
      <c r="C26" s="21" t="s">
        <v>21</v>
      </c>
      <c r="D26" s="21" t="s">
        <v>22</v>
      </c>
      <c r="E26" s="21" t="s">
        <v>23</v>
      </c>
      <c r="F26" s="21" t="s">
        <v>24</v>
      </c>
    </row>
    <row r="27" spans="1:6" ht="14.25" customHeight="1" thickBot="1" x14ac:dyDescent="0.3">
      <c r="A27" s="23" t="s">
        <v>48</v>
      </c>
      <c r="B27" s="23" t="s">
        <v>48</v>
      </c>
      <c r="C27" s="23" t="s">
        <v>26</v>
      </c>
      <c r="D27" s="23" t="s">
        <v>27</v>
      </c>
      <c r="E27" s="23" t="s">
        <v>49</v>
      </c>
      <c r="F27" s="23"/>
    </row>
    <row r="28" spans="1:6" ht="14.25" customHeight="1" thickBot="1" x14ac:dyDescent="0.3">
      <c r="A28" s="39" t="s">
        <v>29</v>
      </c>
      <c r="B28" s="24" t="s">
        <v>30</v>
      </c>
      <c r="C28" s="25">
        <v>45762</v>
      </c>
      <c r="D28" s="39" t="s">
        <v>31</v>
      </c>
      <c r="E28" s="26" t="s">
        <v>32</v>
      </c>
      <c r="F28" s="27" t="s">
        <v>33</v>
      </c>
    </row>
    <row r="29" spans="1:6" ht="14.25" customHeight="1" thickBot="1" x14ac:dyDescent="0.3">
      <c r="A29" s="40"/>
      <c r="B29" s="24" t="s">
        <v>34</v>
      </c>
      <c r="C29" s="28">
        <f>IF(C28="","",IF(AND(MONTH(C28)&gt;=1,MONTH(C28)&lt;=3),1,IF(AND(MONTH(C28)&gt;=4,MONTH(C28)&lt;=6),2,IF(AND(MONTH(C28)&gt;=7,MONTH(C28)&lt;=9),3,4))))</f>
        <v>2</v>
      </c>
      <c r="D29" s="40"/>
      <c r="E29" s="26" t="s">
        <v>35</v>
      </c>
      <c r="F29" s="27" t="s">
        <v>36</v>
      </c>
    </row>
    <row r="30" spans="1:6" ht="14.25" customHeight="1" thickBot="1" x14ac:dyDescent="0.3">
      <c r="A30" s="40"/>
      <c r="B30" s="24" t="s">
        <v>37</v>
      </c>
      <c r="C30" s="25">
        <v>45769</v>
      </c>
      <c r="D30" s="40"/>
      <c r="E30" s="26" t="s">
        <v>38</v>
      </c>
      <c r="F30" s="27" t="s">
        <v>36</v>
      </c>
    </row>
    <row r="31" spans="1:6" ht="14.25" customHeight="1" thickBot="1" x14ac:dyDescent="0.3">
      <c r="A31" s="40"/>
      <c r="B31" s="24" t="s">
        <v>34</v>
      </c>
      <c r="C31" s="28">
        <f>IF(C30="","",IF(AND(MONTH(C30)&gt;=1,MONTH(C30)&lt;=3),1,IF(AND(MONTH(C30)&gt;=4,MONTH(C30)&lt;=6),2,IF(AND(MONTH(C30)&gt;=7,MONTH(C30)&lt;=9),3,4))))</f>
        <v>2</v>
      </c>
      <c r="D31" s="40"/>
      <c r="E31" s="26" t="s">
        <v>39</v>
      </c>
      <c r="F31" s="27"/>
    </row>
    <row r="33" spans="1:6" ht="14.25" customHeight="1" thickBot="1" x14ac:dyDescent="0.3">
      <c r="A33" s="29" t="s">
        <v>40</v>
      </c>
      <c r="B33" s="29" t="s">
        <v>41</v>
      </c>
      <c r="C33" s="29" t="s">
        <v>42</v>
      </c>
      <c r="D33" s="29" t="s">
        <v>43</v>
      </c>
      <c r="E33" s="29" t="s">
        <v>44</v>
      </c>
      <c r="F33" s="29" t="s">
        <v>45</v>
      </c>
    </row>
    <row r="34" spans="1:6" ht="14.25" customHeight="1" x14ac:dyDescent="0.25">
      <c r="A34" s="30" t="s">
        <v>50</v>
      </c>
      <c r="B34" s="31" t="str">
        <f ca="1">IFERROR(INDEX(UNSPSCDes,MATCH(INDIRECT(ADDRESS(ROW(),COLUMN()-1,4)),UNSPSCCode,0)),IF(INDIRECT(ADDRESS(ROW(),COLUMN()-1,4))="76111604","Encerado de pisos y limpieza de tapetes",""))</f>
        <v>Encerado de pisos y limpieza de tapetes</v>
      </c>
      <c r="C34" s="32" t="str">
        <f>IFERROR(VLOOKUP("UD",'[1]Informacion '!P:Q,2,FALSE),"")</f>
        <v>Unidad</v>
      </c>
      <c r="D34" s="30">
        <v>1</v>
      </c>
      <c r="E34" s="33">
        <v>180000</v>
      </c>
      <c r="F34" s="34">
        <f ca="1">INDIRECT(ADDRESS(ROW(),COLUMN()-2,4))*INDIRECT(ADDRESS(ROW(),COLUMN()-1,4))</f>
        <v>180000</v>
      </c>
    </row>
    <row r="35" spans="1:6" ht="14.25" customHeight="1" x14ac:dyDescent="0.25">
      <c r="A35" s="30" t="s">
        <v>50</v>
      </c>
      <c r="B35" s="31" t="str">
        <f ca="1">IFERROR(INDEX(UNSPSCDes,MATCH(INDIRECT(ADDRESS(ROW(),COLUMN()-1,4)),UNSPSCCode,0)),IF(INDIRECT(ADDRESS(ROW(),COLUMN()-1,4))="76111604","Encerado de pisos y limpieza de tapetes",""))</f>
        <v>Encerado de pisos y limpieza de tapetes</v>
      </c>
      <c r="C35" s="32" t="str">
        <f>IFERROR(VLOOKUP("UD",'[1]Informacion '!P:Q,2,FALSE),"")</f>
        <v>Unidad</v>
      </c>
      <c r="D35" s="30">
        <v>1</v>
      </c>
      <c r="E35" s="33">
        <v>30000</v>
      </c>
      <c r="F35" s="34">
        <f ca="1">INDIRECT(ADDRESS(ROW(),COLUMN()-2,4))*INDIRECT(ADDRESS(ROW(),COLUMN()-1,4))</f>
        <v>30000</v>
      </c>
    </row>
    <row r="36" spans="1:6" ht="14.25" customHeight="1" x14ac:dyDescent="0.25">
      <c r="E36" s="35" t="s">
        <v>47</v>
      </c>
      <c r="F36" s="36">
        <f ca="1">SUM(Table5[MONTO TOTAL ESTIMADO])</f>
        <v>210000</v>
      </c>
    </row>
    <row r="38" spans="1:6" ht="33.950000000000003" customHeight="1" thickBot="1" x14ac:dyDescent="0.3">
      <c r="A38" s="21" t="s">
        <v>19</v>
      </c>
      <c r="B38" s="21" t="s">
        <v>20</v>
      </c>
      <c r="C38" s="21" t="s">
        <v>21</v>
      </c>
      <c r="D38" s="21" t="s">
        <v>22</v>
      </c>
      <c r="E38" s="21" t="s">
        <v>23</v>
      </c>
      <c r="F38" s="21" t="s">
        <v>24</v>
      </c>
    </row>
    <row r="39" spans="1:6" ht="14.25" customHeight="1" thickBot="1" x14ac:dyDescent="0.3">
      <c r="A39" s="23" t="s">
        <v>51</v>
      </c>
      <c r="B39" s="23" t="s">
        <v>51</v>
      </c>
      <c r="C39" s="23" t="s">
        <v>26</v>
      </c>
      <c r="D39" s="23" t="s">
        <v>27</v>
      </c>
      <c r="E39" s="23" t="s">
        <v>52</v>
      </c>
      <c r="F39" s="23"/>
    </row>
    <row r="40" spans="1:6" ht="14.25" customHeight="1" thickBot="1" x14ac:dyDescent="0.3">
      <c r="A40" s="39" t="s">
        <v>29</v>
      </c>
      <c r="B40" s="24" t="s">
        <v>30</v>
      </c>
      <c r="C40" s="25">
        <v>45691</v>
      </c>
      <c r="D40" s="39" t="s">
        <v>31</v>
      </c>
      <c r="E40" s="26" t="s">
        <v>32</v>
      </c>
      <c r="F40" s="27" t="s">
        <v>33</v>
      </c>
    </row>
    <row r="41" spans="1:6" ht="14.25" customHeight="1" thickBot="1" x14ac:dyDescent="0.3">
      <c r="A41" s="40"/>
      <c r="B41" s="24" t="s">
        <v>34</v>
      </c>
      <c r="C41" s="28">
        <f>IF(C40="","",IF(AND(MONTH(C40)&gt;=1,MONTH(C40)&lt;=3),1,IF(AND(MONTH(C40)&gt;=4,MONTH(C40)&lt;=6),2,IF(AND(MONTH(C40)&gt;=7,MONTH(C40)&lt;=9),3,4))))</f>
        <v>1</v>
      </c>
      <c r="D41" s="40"/>
      <c r="E41" s="26" t="s">
        <v>35</v>
      </c>
      <c r="F41" s="27" t="s">
        <v>36</v>
      </c>
    </row>
    <row r="42" spans="1:6" ht="14.25" customHeight="1" thickBot="1" x14ac:dyDescent="0.3">
      <c r="A42" s="40"/>
      <c r="B42" s="24" t="s">
        <v>37</v>
      </c>
      <c r="C42" s="25">
        <v>45705</v>
      </c>
      <c r="D42" s="40"/>
      <c r="E42" s="26" t="s">
        <v>38</v>
      </c>
      <c r="F42" s="27" t="s">
        <v>36</v>
      </c>
    </row>
    <row r="43" spans="1:6" ht="14.25" customHeight="1" thickBot="1" x14ac:dyDescent="0.3">
      <c r="A43" s="40"/>
      <c r="B43" s="24" t="s">
        <v>34</v>
      </c>
      <c r="C43" s="28">
        <f>IF(C42="","",IF(AND(MONTH(C42)&gt;=1,MONTH(C42)&lt;=3),1,IF(AND(MONTH(C42)&gt;=4,MONTH(C42)&lt;=6),2,IF(AND(MONTH(C42)&gt;=7,MONTH(C42)&lt;=9),3,4))))</f>
        <v>1</v>
      </c>
      <c r="D43" s="40"/>
      <c r="E43" s="26" t="s">
        <v>39</v>
      </c>
      <c r="F43" s="27"/>
    </row>
    <row r="45" spans="1:6" ht="14.25" customHeight="1" thickBot="1" x14ac:dyDescent="0.3">
      <c r="A45" s="29" t="s">
        <v>40</v>
      </c>
      <c r="B45" s="29" t="s">
        <v>41</v>
      </c>
      <c r="C45" s="29" t="s">
        <v>42</v>
      </c>
      <c r="D45" s="29" t="s">
        <v>43</v>
      </c>
      <c r="E45" s="29" t="s">
        <v>44</v>
      </c>
      <c r="F45" s="29" t="s">
        <v>45</v>
      </c>
    </row>
    <row r="46" spans="1:6" ht="14.25" customHeight="1" x14ac:dyDescent="0.25">
      <c r="A46" s="30" t="s">
        <v>53</v>
      </c>
      <c r="B46" s="31" t="str">
        <f ca="1">IFERROR(INDEX(UNSPSCDes,MATCH(INDIRECT(ADDRESS(ROW(),COLUMN()-1,4)),UNSPSCCode,0)),IF(INDIRECT(ADDRESS(ROW(),COLUMN()-1,4))="81112501","Servicio de licencias de programas informáticos",""))</f>
        <v>Servicio de licencias de programas informáticos</v>
      </c>
      <c r="C46" s="32" t="str">
        <f>IFERROR(VLOOKUP("UD",'[1]Informacion '!P:Q,2,FALSE),"")</f>
        <v>Unidad</v>
      </c>
      <c r="D46" s="30">
        <v>1</v>
      </c>
      <c r="E46" s="33">
        <v>33000</v>
      </c>
      <c r="F46" s="34">
        <f ca="1">INDIRECT(ADDRESS(ROW(),COLUMN()-2,4))*INDIRECT(ADDRESS(ROW(),COLUMN()-1,4))</f>
        <v>33000</v>
      </c>
    </row>
    <row r="47" spans="1:6" ht="14.25" customHeight="1" x14ac:dyDescent="0.25">
      <c r="A47" s="30" t="s">
        <v>53</v>
      </c>
      <c r="B47" s="31" t="str">
        <f ca="1">IFERROR(INDEX(UNSPSCDes,MATCH(INDIRECT(ADDRESS(ROW(),COLUMN()-1,4)),UNSPSCCode,0)),IF(INDIRECT(ADDRESS(ROW(),COLUMN()-1,4))="81112501","Servicio de licencias de programas informáticos",""))</f>
        <v>Servicio de licencias de programas informáticos</v>
      </c>
      <c r="C47" s="32" t="str">
        <f>IFERROR(VLOOKUP("UD",'[1]Informacion '!P:Q,2,FALSE),"")</f>
        <v>Unidad</v>
      </c>
      <c r="D47" s="30">
        <v>1</v>
      </c>
      <c r="E47" s="33">
        <v>17050</v>
      </c>
      <c r="F47" s="34">
        <f ca="1">INDIRECT(ADDRESS(ROW(),COLUMN()-2,4))*INDIRECT(ADDRESS(ROW(),COLUMN()-1,4))</f>
        <v>17050</v>
      </c>
    </row>
    <row r="48" spans="1:6" ht="14.25" customHeight="1" x14ac:dyDescent="0.25">
      <c r="A48" s="30" t="s">
        <v>53</v>
      </c>
      <c r="B48" s="31" t="str">
        <f ca="1">IFERROR(INDEX(UNSPSCDes,MATCH(INDIRECT(ADDRESS(ROW(),COLUMN()-1,4)),UNSPSCCode,0)),IF(INDIRECT(ADDRESS(ROW(),COLUMN()-1,4))="81112501","Servicio de licencias de programas informáticos",""))</f>
        <v>Servicio de licencias de programas informáticos</v>
      </c>
      <c r="C48" s="32" t="str">
        <f>IFERROR(VLOOKUP("UD",'[1]Informacion '!P:Q,2,FALSE),"")</f>
        <v>Unidad</v>
      </c>
      <c r="D48" s="30">
        <v>1</v>
      </c>
      <c r="E48" s="33">
        <v>89100</v>
      </c>
      <c r="F48" s="34">
        <f ca="1">INDIRECT(ADDRESS(ROW(),COLUMN()-2,4))*INDIRECT(ADDRESS(ROW(),COLUMN()-1,4))</f>
        <v>89100</v>
      </c>
    </row>
    <row r="49" spans="1:6" ht="14.25" customHeight="1" x14ac:dyDescent="0.25">
      <c r="A49" s="30" t="s">
        <v>53</v>
      </c>
      <c r="B49" s="31" t="str">
        <f ca="1">IFERROR(INDEX(UNSPSCDes,MATCH(INDIRECT(ADDRESS(ROW(),COLUMN()-1,4)),UNSPSCCode,0)),IF(INDIRECT(ADDRESS(ROW(),COLUMN()-1,4))="81112501","Servicio de licencias de programas informáticos",""))</f>
        <v>Servicio de licencias de programas informáticos</v>
      </c>
      <c r="C49" s="32" t="str">
        <f>IFERROR(VLOOKUP("UD",'[1]Informacion '!P:Q,2,FALSE),"")</f>
        <v>Unidad</v>
      </c>
      <c r="D49" s="30">
        <v>1</v>
      </c>
      <c r="E49" s="33">
        <v>70000</v>
      </c>
      <c r="F49" s="34">
        <f ca="1">INDIRECT(ADDRESS(ROW(),COLUMN()-2,4))*INDIRECT(ADDRESS(ROW(),COLUMN()-1,4))</f>
        <v>70000</v>
      </c>
    </row>
    <row r="50" spans="1:6" ht="14.25" customHeight="1" x14ac:dyDescent="0.25">
      <c r="E50" s="35" t="s">
        <v>47</v>
      </c>
      <c r="F50" s="36">
        <f ca="1">SUM(Table6[MONTO TOTAL ESTIMADO])</f>
        <v>209150</v>
      </c>
    </row>
    <row r="52" spans="1:6" ht="33.950000000000003" customHeight="1" thickBot="1" x14ac:dyDescent="0.3">
      <c r="A52" s="21" t="s">
        <v>19</v>
      </c>
      <c r="B52" s="21" t="s">
        <v>20</v>
      </c>
      <c r="C52" s="21" t="s">
        <v>21</v>
      </c>
      <c r="D52" s="21" t="s">
        <v>22</v>
      </c>
      <c r="E52" s="21" t="s">
        <v>23</v>
      </c>
      <c r="F52" s="21" t="s">
        <v>24</v>
      </c>
    </row>
    <row r="53" spans="1:6" ht="14.25" customHeight="1" thickBot="1" x14ac:dyDescent="0.3">
      <c r="A53" s="23" t="s">
        <v>54</v>
      </c>
      <c r="B53" s="23" t="s">
        <v>54</v>
      </c>
      <c r="C53" s="23" t="s">
        <v>55</v>
      </c>
      <c r="D53" s="23" t="s">
        <v>27</v>
      </c>
      <c r="E53" s="23" t="s">
        <v>49</v>
      </c>
      <c r="F53" s="23"/>
    </row>
    <row r="54" spans="1:6" ht="14.25" customHeight="1" thickBot="1" x14ac:dyDescent="0.3">
      <c r="A54" s="39" t="s">
        <v>29</v>
      </c>
      <c r="B54" s="24" t="s">
        <v>30</v>
      </c>
      <c r="C54" s="25">
        <v>45845</v>
      </c>
      <c r="D54" s="39" t="s">
        <v>31</v>
      </c>
      <c r="E54" s="26" t="s">
        <v>32</v>
      </c>
      <c r="F54" s="27" t="s">
        <v>33</v>
      </c>
    </row>
    <row r="55" spans="1:6" ht="14.25" customHeight="1" thickBot="1" x14ac:dyDescent="0.3">
      <c r="A55" s="40"/>
      <c r="B55" s="24" t="s">
        <v>34</v>
      </c>
      <c r="C55" s="28">
        <f>IF(C54="","",IF(AND(MONTH(C54)&gt;=1,MONTH(C54)&lt;=3),1,IF(AND(MONTH(C54)&gt;=4,MONTH(C54)&lt;=6),2,IF(AND(MONTH(C54)&gt;=7,MONTH(C54)&lt;=9),3,4))))</f>
        <v>3</v>
      </c>
      <c r="D55" s="40"/>
      <c r="E55" s="26" t="s">
        <v>35</v>
      </c>
      <c r="F55" s="27" t="s">
        <v>36</v>
      </c>
    </row>
    <row r="56" spans="1:6" ht="14.25" customHeight="1" thickBot="1" x14ac:dyDescent="0.3">
      <c r="A56" s="40"/>
      <c r="B56" s="24" t="s">
        <v>37</v>
      </c>
      <c r="C56" s="25">
        <v>45852</v>
      </c>
      <c r="D56" s="40"/>
      <c r="E56" s="26" t="s">
        <v>38</v>
      </c>
      <c r="F56" s="27" t="s">
        <v>36</v>
      </c>
    </row>
    <row r="57" spans="1:6" ht="14.25" customHeight="1" thickBot="1" x14ac:dyDescent="0.3">
      <c r="A57" s="40"/>
      <c r="B57" s="24" t="s">
        <v>34</v>
      </c>
      <c r="C57" s="28">
        <f>IF(C56="","",IF(AND(MONTH(C56)&gt;=1,MONTH(C56)&lt;=3),1,IF(AND(MONTH(C56)&gt;=4,MONTH(C56)&lt;=6),2,IF(AND(MONTH(C56)&gt;=7,MONTH(C56)&lt;=9),3,4))))</f>
        <v>3</v>
      </c>
      <c r="D57" s="40"/>
      <c r="E57" s="26" t="s">
        <v>39</v>
      </c>
      <c r="F57" s="27"/>
    </row>
    <row r="59" spans="1:6" ht="14.25" customHeight="1" thickBot="1" x14ac:dyDescent="0.3">
      <c r="A59" s="29" t="s">
        <v>40</v>
      </c>
      <c r="B59" s="29" t="s">
        <v>41</v>
      </c>
      <c r="C59" s="29" t="s">
        <v>42</v>
      </c>
      <c r="D59" s="29" t="s">
        <v>43</v>
      </c>
      <c r="E59" s="29" t="s">
        <v>44</v>
      </c>
      <c r="F59" s="29" t="s">
        <v>45</v>
      </c>
    </row>
    <row r="60" spans="1:6" ht="14.25" customHeight="1" x14ac:dyDescent="0.25">
      <c r="A60" s="30" t="s">
        <v>56</v>
      </c>
      <c r="B60" s="31" t="str">
        <f ca="1">IFERROR(INDEX(UNSPSCDes,MATCH(INDIRECT(ADDRESS(ROW(),COLUMN()-1,4)),UNSPSCCode,0)),IF(INDIRECT(ADDRESS(ROW(),COLUMN()-1,4))="44102912","Soluciones limpiadoras para equipos de oficina",""))</f>
        <v>Soluciones limpiadoras para equipos de oficina</v>
      </c>
      <c r="C60" s="32" t="str">
        <f>IFERROR(VLOOKUP("UD",'[1]Informacion '!P:Q,2,FALSE),"")</f>
        <v>Unidad</v>
      </c>
      <c r="D60" s="30">
        <v>30</v>
      </c>
      <c r="E60" s="33">
        <v>840</v>
      </c>
      <c r="F60" s="34">
        <f ca="1">INDIRECT(ADDRESS(ROW(),COLUMN()-2,4))*INDIRECT(ADDRESS(ROW(),COLUMN()-1,4))</f>
        <v>25200</v>
      </c>
    </row>
    <row r="61" spans="1:6" ht="14.25" customHeight="1" x14ac:dyDescent="0.25">
      <c r="A61" s="30" t="s">
        <v>56</v>
      </c>
      <c r="B61" s="31" t="str">
        <f ca="1">IFERROR(INDEX(UNSPSCDes,MATCH(INDIRECT(ADDRESS(ROW(),COLUMN()-1,4)),UNSPSCCode,0)),IF(INDIRECT(ADDRESS(ROW(),COLUMN()-1,4))="44102912","Soluciones limpiadoras para equipos de oficina",""))</f>
        <v>Soluciones limpiadoras para equipos de oficina</v>
      </c>
      <c r="C61" s="32" t="str">
        <f>IFERROR(VLOOKUP("UD",'[1]Informacion '!P:Q,2,FALSE),"")</f>
        <v>Unidad</v>
      </c>
      <c r="D61" s="30">
        <v>30</v>
      </c>
      <c r="E61" s="33">
        <v>600</v>
      </c>
      <c r="F61" s="34">
        <f ca="1">INDIRECT(ADDRESS(ROW(),COLUMN()-2,4))*INDIRECT(ADDRESS(ROW(),COLUMN()-1,4))</f>
        <v>18000</v>
      </c>
    </row>
    <row r="62" spans="1:6" ht="14.25" customHeight="1" x14ac:dyDescent="0.25">
      <c r="E62" s="35" t="s">
        <v>47</v>
      </c>
      <c r="F62" s="36">
        <f ca="1">SUM(Table7[MONTO TOTAL ESTIMADO])</f>
        <v>43200</v>
      </c>
    </row>
    <row r="64" spans="1:6" ht="33.950000000000003" customHeight="1" thickBot="1" x14ac:dyDescent="0.3">
      <c r="A64" s="21" t="s">
        <v>19</v>
      </c>
      <c r="B64" s="21" t="s">
        <v>20</v>
      </c>
      <c r="C64" s="21" t="s">
        <v>21</v>
      </c>
      <c r="D64" s="21" t="s">
        <v>22</v>
      </c>
      <c r="E64" s="21" t="s">
        <v>23</v>
      </c>
      <c r="F64" s="21" t="s">
        <v>24</v>
      </c>
    </row>
    <row r="65" spans="1:6" ht="14.25" customHeight="1" thickBot="1" x14ac:dyDescent="0.3">
      <c r="A65" s="23" t="s">
        <v>57</v>
      </c>
      <c r="B65" s="23" t="s">
        <v>57</v>
      </c>
      <c r="C65" s="23" t="s">
        <v>55</v>
      </c>
      <c r="D65" s="23" t="s">
        <v>27</v>
      </c>
      <c r="E65" s="23" t="s">
        <v>49</v>
      </c>
      <c r="F65" s="23"/>
    </row>
    <row r="66" spans="1:6" ht="14.25" customHeight="1" thickBot="1" x14ac:dyDescent="0.3">
      <c r="A66" s="39" t="s">
        <v>29</v>
      </c>
      <c r="B66" s="24" t="s">
        <v>30</v>
      </c>
      <c r="C66" s="25">
        <v>45845</v>
      </c>
      <c r="D66" s="39" t="s">
        <v>31</v>
      </c>
      <c r="E66" s="26" t="s">
        <v>32</v>
      </c>
      <c r="F66" s="27" t="s">
        <v>33</v>
      </c>
    </row>
    <row r="67" spans="1:6" ht="14.25" customHeight="1" thickBot="1" x14ac:dyDescent="0.3">
      <c r="A67" s="40"/>
      <c r="B67" s="24" t="s">
        <v>34</v>
      </c>
      <c r="C67" s="28">
        <f>IF(C66="","",IF(AND(MONTH(C66)&gt;=1,MONTH(C66)&lt;=3),1,IF(AND(MONTH(C66)&gt;=4,MONTH(C66)&lt;=6),2,IF(AND(MONTH(C66)&gt;=7,MONTH(C66)&lt;=9),3,4))))</f>
        <v>3</v>
      </c>
      <c r="D67" s="40"/>
      <c r="E67" s="26" t="s">
        <v>35</v>
      </c>
      <c r="F67" s="27" t="s">
        <v>36</v>
      </c>
    </row>
    <row r="68" spans="1:6" ht="14.25" customHeight="1" thickBot="1" x14ac:dyDescent="0.3">
      <c r="A68" s="40"/>
      <c r="B68" s="24" t="s">
        <v>37</v>
      </c>
      <c r="C68" s="25">
        <v>45852</v>
      </c>
      <c r="D68" s="40"/>
      <c r="E68" s="26" t="s">
        <v>38</v>
      </c>
      <c r="F68" s="27" t="s">
        <v>36</v>
      </c>
    </row>
    <row r="69" spans="1:6" ht="14.25" customHeight="1" thickBot="1" x14ac:dyDescent="0.3">
      <c r="A69" s="40"/>
      <c r="B69" s="24" t="s">
        <v>34</v>
      </c>
      <c r="C69" s="28">
        <f>IF(C68="","",IF(AND(MONTH(C68)&gt;=1,MONTH(C68)&lt;=3),1,IF(AND(MONTH(C68)&gt;=4,MONTH(C68)&lt;=6),2,IF(AND(MONTH(C68)&gt;=7,MONTH(C68)&lt;=9),3,4))))</f>
        <v>3</v>
      </c>
      <c r="D69" s="40"/>
      <c r="E69" s="26" t="s">
        <v>39</v>
      </c>
      <c r="F69" s="27"/>
    </row>
    <row r="71" spans="1:6" ht="14.25" customHeight="1" thickBot="1" x14ac:dyDescent="0.3">
      <c r="A71" s="29" t="s">
        <v>40</v>
      </c>
      <c r="B71" s="29" t="s">
        <v>41</v>
      </c>
      <c r="C71" s="29" t="s">
        <v>42</v>
      </c>
      <c r="D71" s="29" t="s">
        <v>43</v>
      </c>
      <c r="E71" s="29" t="s">
        <v>44</v>
      </c>
      <c r="F71" s="29" t="s">
        <v>45</v>
      </c>
    </row>
    <row r="72" spans="1:6" ht="14.25" customHeight="1" x14ac:dyDescent="0.25">
      <c r="A72" s="30" t="s">
        <v>58</v>
      </c>
      <c r="B72" s="31" t="str">
        <f ca="1">IFERROR(INDEX(UNSPSCDes,MATCH(INDIRECT(ADDRESS(ROW(),COLUMN()-1,4)),UNSPSCCode,0)),IF(INDIRECT(ADDRESS(ROW(),COLUMN()-1,4))="43201803","Unidades de disco duro",""))</f>
        <v>Unidades de disco duro</v>
      </c>
      <c r="C72" s="32" t="str">
        <f>IFERROR(VLOOKUP("UD",'[1]Informacion '!P:Q,2,FALSE),"")</f>
        <v>Unidad</v>
      </c>
      <c r="D72" s="30">
        <v>10</v>
      </c>
      <c r="E72" s="33">
        <v>6000</v>
      </c>
      <c r="F72" s="34">
        <f ca="1">INDIRECT(ADDRESS(ROW(),COLUMN()-2,4))*INDIRECT(ADDRESS(ROW(),COLUMN()-1,4))</f>
        <v>60000</v>
      </c>
    </row>
    <row r="73" spans="1:6" ht="14.25" customHeight="1" x14ac:dyDescent="0.25">
      <c r="A73" s="30" t="s">
        <v>58</v>
      </c>
      <c r="B73" s="31" t="str">
        <f ca="1">IFERROR(INDEX(UNSPSCDes,MATCH(INDIRECT(ADDRESS(ROW(),COLUMN()-1,4)),UNSPSCCode,0)),IF(INDIRECT(ADDRESS(ROW(),COLUMN()-1,4))="43201803","Unidades de disco duro",""))</f>
        <v>Unidades de disco duro</v>
      </c>
      <c r="C73" s="32" t="str">
        <f>IFERROR(VLOOKUP("UD",'[1]Informacion '!P:Q,2,FALSE),"")</f>
        <v>Unidad</v>
      </c>
      <c r="D73" s="30">
        <v>2</v>
      </c>
      <c r="E73" s="33">
        <v>12000</v>
      </c>
      <c r="F73" s="34">
        <f ca="1">INDIRECT(ADDRESS(ROW(),COLUMN()-2,4))*INDIRECT(ADDRESS(ROW(),COLUMN()-1,4))</f>
        <v>24000</v>
      </c>
    </row>
    <row r="74" spans="1:6" ht="14.25" customHeight="1" x14ac:dyDescent="0.25">
      <c r="A74" s="30" t="s">
        <v>59</v>
      </c>
      <c r="B74" s="31" t="str">
        <f ca="1">IFERROR(INDEX(UNSPSCDes,MATCH(INDIRECT(ADDRESS(ROW(),COLUMN()-1,4)),UNSPSCCode,0)),IF(INDIRECT(ADDRESS(ROW(),COLUMN()-1,4))="26121609","Cable de redes",""))</f>
        <v>Cable de redes</v>
      </c>
      <c r="C74" s="32" t="str">
        <f>IFERROR(VLOOKUP("UD",'[1]Informacion '!P:Q,2,FALSE),"")</f>
        <v>Unidad</v>
      </c>
      <c r="D74" s="30">
        <v>100</v>
      </c>
      <c r="E74" s="33">
        <v>240</v>
      </c>
      <c r="F74" s="34">
        <f ca="1">INDIRECT(ADDRESS(ROW(),COLUMN()-2,4))*INDIRECT(ADDRESS(ROW(),COLUMN()-1,4))</f>
        <v>24000</v>
      </c>
    </row>
    <row r="75" spans="1:6" ht="14.25" customHeight="1" x14ac:dyDescent="0.25">
      <c r="A75" s="30" t="s">
        <v>60</v>
      </c>
      <c r="B75" s="31" t="str">
        <f ca="1">IFERROR(INDEX(UNSPSCDes,MATCH(INDIRECT(ADDRESS(ROW(),COLUMN()-1,4)),UNSPSCCode,0)),IF(INDIRECT(ADDRESS(ROW(),COLUMN()-1,4))="26121630","Accesorios de cable",""))</f>
        <v>Accesorios de cable</v>
      </c>
      <c r="C75" s="32" t="str">
        <f>IFERROR(VLOOKUP("PAQ",'[1]Informacion '!P:Q,2,FALSE),"")</f>
        <v>Paquete</v>
      </c>
      <c r="D75" s="30">
        <v>3</v>
      </c>
      <c r="E75" s="33">
        <v>4872</v>
      </c>
      <c r="F75" s="34">
        <f ca="1">INDIRECT(ADDRESS(ROW(),COLUMN()-2,4))*INDIRECT(ADDRESS(ROW(),COLUMN()-1,4))</f>
        <v>14616</v>
      </c>
    </row>
    <row r="76" spans="1:6" ht="14.25" customHeight="1" x14ac:dyDescent="0.25">
      <c r="E76" s="35" t="s">
        <v>47</v>
      </c>
      <c r="F76" s="36">
        <f ca="1">SUM(Table8[MONTO TOTAL ESTIMADO])</f>
        <v>122616</v>
      </c>
    </row>
    <row r="78" spans="1:6" ht="33.950000000000003" customHeight="1" thickBot="1" x14ac:dyDescent="0.3">
      <c r="A78" s="21" t="s">
        <v>19</v>
      </c>
      <c r="B78" s="21" t="s">
        <v>20</v>
      </c>
      <c r="C78" s="21" t="s">
        <v>21</v>
      </c>
      <c r="D78" s="21" t="s">
        <v>22</v>
      </c>
      <c r="E78" s="21" t="s">
        <v>23</v>
      </c>
      <c r="F78" s="21" t="s">
        <v>24</v>
      </c>
    </row>
    <row r="79" spans="1:6" ht="14.25" customHeight="1" thickBot="1" x14ac:dyDescent="0.3">
      <c r="A79" s="23" t="s">
        <v>61</v>
      </c>
      <c r="B79" s="23" t="s">
        <v>61</v>
      </c>
      <c r="C79" s="23" t="s">
        <v>26</v>
      </c>
      <c r="D79" s="23" t="s">
        <v>62</v>
      </c>
      <c r="E79" s="23" t="s">
        <v>52</v>
      </c>
      <c r="F79" s="23"/>
    </row>
    <row r="80" spans="1:6" ht="14.25" customHeight="1" thickBot="1" x14ac:dyDescent="0.3">
      <c r="A80" s="39" t="s">
        <v>29</v>
      </c>
      <c r="B80" s="24" t="s">
        <v>30</v>
      </c>
      <c r="C80" s="25">
        <v>45692</v>
      </c>
      <c r="D80" s="39" t="s">
        <v>31</v>
      </c>
      <c r="E80" s="26" t="s">
        <v>32</v>
      </c>
      <c r="F80" s="27" t="s">
        <v>33</v>
      </c>
    </row>
    <row r="81" spans="1:6" ht="14.25" customHeight="1" thickBot="1" x14ac:dyDescent="0.3">
      <c r="A81" s="40"/>
      <c r="B81" s="24" t="s">
        <v>34</v>
      </c>
      <c r="C81" s="28">
        <f>IF(C80="","",IF(AND(MONTH(C80)&gt;=1,MONTH(C80)&lt;=3),1,IF(AND(MONTH(C80)&gt;=4,MONTH(C80)&lt;=6),2,IF(AND(MONTH(C80)&gt;=7,MONTH(C80)&lt;=9),3,4))))</f>
        <v>1</v>
      </c>
      <c r="D81" s="40"/>
      <c r="E81" s="26" t="s">
        <v>35</v>
      </c>
      <c r="F81" s="27" t="s">
        <v>36</v>
      </c>
    </row>
    <row r="82" spans="1:6" ht="14.25" customHeight="1" thickBot="1" x14ac:dyDescent="0.3">
      <c r="A82" s="40"/>
      <c r="B82" s="24" t="s">
        <v>37</v>
      </c>
      <c r="C82" s="25">
        <v>45716</v>
      </c>
      <c r="D82" s="40"/>
      <c r="E82" s="26" t="s">
        <v>38</v>
      </c>
      <c r="F82" s="27" t="s">
        <v>36</v>
      </c>
    </row>
    <row r="83" spans="1:6" ht="14.25" customHeight="1" thickBot="1" x14ac:dyDescent="0.3">
      <c r="A83" s="40"/>
      <c r="B83" s="24" t="s">
        <v>34</v>
      </c>
      <c r="C83" s="28">
        <f>IF(C82="","",IF(AND(MONTH(C82)&gt;=1,MONTH(C82)&lt;=3),1,IF(AND(MONTH(C82)&gt;=4,MONTH(C82)&lt;=6),2,IF(AND(MONTH(C82)&gt;=7,MONTH(C82)&lt;=9),3,4))))</f>
        <v>1</v>
      </c>
      <c r="D83" s="40"/>
      <c r="E83" s="26" t="s">
        <v>39</v>
      </c>
      <c r="F83" s="27"/>
    </row>
    <row r="85" spans="1:6" ht="14.25" customHeight="1" thickBot="1" x14ac:dyDescent="0.3">
      <c r="A85" s="29" t="s">
        <v>40</v>
      </c>
      <c r="B85" s="29" t="s">
        <v>41</v>
      </c>
      <c r="C85" s="29" t="s">
        <v>42</v>
      </c>
      <c r="D85" s="29" t="s">
        <v>43</v>
      </c>
      <c r="E85" s="29" t="s">
        <v>44</v>
      </c>
      <c r="F85" s="29" t="s">
        <v>45</v>
      </c>
    </row>
    <row r="86" spans="1:6" ht="14.25" customHeight="1" x14ac:dyDescent="0.25">
      <c r="A86" s="30" t="s">
        <v>63</v>
      </c>
      <c r="B86" s="31" t="str">
        <f ca="1">IFERROR(INDEX(UNSPSCDes,MATCH(INDIRECT(ADDRESS(ROW(),COLUMN()-1,4)),UNSPSCCode,0)),IF(INDIRECT(ADDRESS(ROW(),COLUMN()-1,4))="90101604","Servicios de cáterin en la obra o lugar de trabajo",""))</f>
        <v>Servicios de cáterin en la obra o lugar de trabajo</v>
      </c>
      <c r="C86" s="32" t="str">
        <f>IFERROR(VLOOKUP("UD",'[1]Informacion '!P:Q,2,FALSE),"")</f>
        <v>Unidad</v>
      </c>
      <c r="D86" s="30">
        <v>1</v>
      </c>
      <c r="E86" s="33">
        <v>1800000</v>
      </c>
      <c r="F86" s="34">
        <f ca="1">INDIRECT(ADDRESS(ROW(),COLUMN()-2,4))*INDIRECT(ADDRESS(ROW(),COLUMN()-1,4))</f>
        <v>1800000</v>
      </c>
    </row>
    <row r="87" spans="1:6" ht="14.25" customHeight="1" x14ac:dyDescent="0.25">
      <c r="E87" s="35" t="s">
        <v>47</v>
      </c>
      <c r="F87" s="36">
        <f ca="1">SUM(Table9[MONTO TOTAL ESTIMADO])</f>
        <v>1800000</v>
      </c>
    </row>
    <row r="89" spans="1:6" ht="33.950000000000003" customHeight="1" thickBot="1" x14ac:dyDescent="0.3">
      <c r="A89" s="21" t="s">
        <v>19</v>
      </c>
      <c r="B89" s="21" t="s">
        <v>20</v>
      </c>
      <c r="C89" s="21" t="s">
        <v>21</v>
      </c>
      <c r="D89" s="21" t="s">
        <v>22</v>
      </c>
      <c r="E89" s="21" t="s">
        <v>23</v>
      </c>
      <c r="F89" s="21" t="s">
        <v>24</v>
      </c>
    </row>
    <row r="90" spans="1:6" ht="14.25" customHeight="1" thickBot="1" x14ac:dyDescent="0.3">
      <c r="A90" s="23" t="s">
        <v>64</v>
      </c>
      <c r="B90" s="23" t="s">
        <v>64</v>
      </c>
      <c r="C90" s="23" t="s">
        <v>55</v>
      </c>
      <c r="D90" s="23" t="s">
        <v>27</v>
      </c>
      <c r="E90" s="23" t="s">
        <v>52</v>
      </c>
      <c r="F90" s="23"/>
    </row>
    <row r="91" spans="1:6" ht="14.25" customHeight="1" thickBot="1" x14ac:dyDescent="0.3">
      <c r="A91" s="39" t="s">
        <v>29</v>
      </c>
      <c r="B91" s="24" t="s">
        <v>30</v>
      </c>
      <c r="C91" s="25">
        <v>45762</v>
      </c>
      <c r="D91" s="39" t="s">
        <v>31</v>
      </c>
      <c r="E91" s="26" t="s">
        <v>32</v>
      </c>
      <c r="F91" s="27" t="s">
        <v>33</v>
      </c>
    </row>
    <row r="92" spans="1:6" ht="14.25" customHeight="1" thickBot="1" x14ac:dyDescent="0.3">
      <c r="A92" s="40"/>
      <c r="B92" s="24" t="s">
        <v>34</v>
      </c>
      <c r="C92" s="28">
        <f>IF(C91="","",IF(AND(MONTH(C91)&gt;=1,MONTH(C91)&lt;=3),1,IF(AND(MONTH(C91)&gt;=4,MONTH(C91)&lt;=6),2,IF(AND(MONTH(C91)&gt;=7,MONTH(C91)&lt;=9),3,4))))</f>
        <v>2</v>
      </c>
      <c r="D92" s="40"/>
      <c r="E92" s="26" t="s">
        <v>35</v>
      </c>
      <c r="F92" s="27" t="s">
        <v>36</v>
      </c>
    </row>
    <row r="93" spans="1:6" ht="14.25" customHeight="1" thickBot="1" x14ac:dyDescent="0.3">
      <c r="A93" s="40"/>
      <c r="B93" s="24" t="s">
        <v>37</v>
      </c>
      <c r="C93" s="25">
        <v>45768</v>
      </c>
      <c r="D93" s="40"/>
      <c r="E93" s="26" t="s">
        <v>38</v>
      </c>
      <c r="F93" s="27" t="s">
        <v>36</v>
      </c>
    </row>
    <row r="94" spans="1:6" ht="14.25" customHeight="1" thickBot="1" x14ac:dyDescent="0.3">
      <c r="A94" s="40"/>
      <c r="B94" s="24" t="s">
        <v>34</v>
      </c>
      <c r="C94" s="28">
        <f>IF(C93="","",IF(AND(MONTH(C93)&gt;=1,MONTH(C93)&lt;=3),1,IF(AND(MONTH(C93)&gt;=4,MONTH(C93)&lt;=6),2,IF(AND(MONTH(C93)&gt;=7,MONTH(C93)&lt;=9),3,4))))</f>
        <v>2</v>
      </c>
      <c r="D94" s="40"/>
      <c r="E94" s="26" t="s">
        <v>39</v>
      </c>
      <c r="F94" s="27"/>
    </row>
    <row r="96" spans="1:6" ht="14.25" customHeight="1" thickBot="1" x14ac:dyDescent="0.3">
      <c r="A96" s="29" t="s">
        <v>40</v>
      </c>
      <c r="B96" s="29" t="s">
        <v>41</v>
      </c>
      <c r="C96" s="29" t="s">
        <v>42</v>
      </c>
      <c r="D96" s="29" t="s">
        <v>43</v>
      </c>
      <c r="E96" s="29" t="s">
        <v>44</v>
      </c>
      <c r="F96" s="29" t="s">
        <v>45</v>
      </c>
    </row>
    <row r="97" spans="1:6" ht="14.25" customHeight="1" x14ac:dyDescent="0.25">
      <c r="A97" s="30" t="s">
        <v>65</v>
      </c>
      <c r="B97" s="31" t="str">
        <f ca="1">IFERROR(INDEX(UNSPSCDes,MATCH(INDIRECT(ADDRESS(ROW(),COLUMN()-1,4)),UNSPSCCode,0)),IF(INDIRECT(ADDRESS(ROW(),COLUMN()-1,4))="44111510","Organizadores o accesorios de colgar",""))</f>
        <v>Organizadores o accesorios de colgar</v>
      </c>
      <c r="C97" s="32" t="str">
        <f>IFERROR(VLOOKUP("UD",'[1]Informacion '!P:Q,2,FALSE),"")</f>
        <v>Unidad</v>
      </c>
      <c r="D97" s="30">
        <v>20</v>
      </c>
      <c r="E97" s="33">
        <v>650</v>
      </c>
      <c r="F97" s="34">
        <f ca="1">INDIRECT(ADDRESS(ROW(),COLUMN()-2,4))*INDIRECT(ADDRESS(ROW(),COLUMN()-1,4))</f>
        <v>13000</v>
      </c>
    </row>
    <row r="98" spans="1:6" ht="14.25" customHeight="1" x14ac:dyDescent="0.25">
      <c r="A98" s="30" t="s">
        <v>66</v>
      </c>
      <c r="B98" s="31" t="str">
        <f ca="1">IFERROR(INDEX(UNSPSCDes,MATCH(INDIRECT(ADDRESS(ROW(),COLUMN()-1,4)),UNSPSCCode,0)),IF(INDIRECT(ADDRESS(ROW(),COLUMN()-1,4))="53131629","Kits de maquillaje",""))</f>
        <v>Kits de maquillaje</v>
      </c>
      <c r="C98" s="32" t="str">
        <f>IFERROR(VLOOKUP("UD",'[1]Informacion '!P:Q,2,FALSE),"")</f>
        <v>Unidad</v>
      </c>
      <c r="D98" s="30">
        <v>125</v>
      </c>
      <c r="E98" s="33">
        <v>1100</v>
      </c>
      <c r="F98" s="34">
        <f ca="1">INDIRECT(ADDRESS(ROW(),COLUMN()-2,4))*INDIRECT(ADDRESS(ROW(),COLUMN()-1,4))</f>
        <v>137500</v>
      </c>
    </row>
    <row r="99" spans="1:6" ht="14.25" customHeight="1" x14ac:dyDescent="0.25">
      <c r="E99" s="35" t="s">
        <v>47</v>
      </c>
      <c r="F99" s="36">
        <f ca="1">SUM(Table10[MONTO TOTAL ESTIMADO])</f>
        <v>150500</v>
      </c>
    </row>
    <row r="101" spans="1:6" ht="33.950000000000003" customHeight="1" thickBot="1" x14ac:dyDescent="0.3">
      <c r="A101" s="21" t="s">
        <v>19</v>
      </c>
      <c r="B101" s="21" t="s">
        <v>20</v>
      </c>
      <c r="C101" s="21" t="s">
        <v>21</v>
      </c>
      <c r="D101" s="21" t="s">
        <v>22</v>
      </c>
      <c r="E101" s="21" t="s">
        <v>23</v>
      </c>
      <c r="F101" s="21" t="s">
        <v>24</v>
      </c>
    </row>
    <row r="102" spans="1:6" ht="14.25" customHeight="1" thickBot="1" x14ac:dyDescent="0.3">
      <c r="A102" s="23" t="s">
        <v>67</v>
      </c>
      <c r="B102" s="23" t="s">
        <v>67</v>
      </c>
      <c r="C102" s="23" t="s">
        <v>26</v>
      </c>
      <c r="D102" s="23" t="s">
        <v>62</v>
      </c>
      <c r="E102" s="23" t="s">
        <v>52</v>
      </c>
      <c r="F102" s="23"/>
    </row>
    <row r="103" spans="1:6" ht="14.25" customHeight="1" thickBot="1" x14ac:dyDescent="0.3">
      <c r="A103" s="39" t="s">
        <v>29</v>
      </c>
      <c r="B103" s="24" t="s">
        <v>30</v>
      </c>
      <c r="C103" s="25">
        <v>45754</v>
      </c>
      <c r="D103" s="39" t="s">
        <v>31</v>
      </c>
      <c r="E103" s="26" t="s">
        <v>32</v>
      </c>
      <c r="F103" s="27" t="s">
        <v>33</v>
      </c>
    </row>
    <row r="104" spans="1:6" ht="14.25" customHeight="1" thickBot="1" x14ac:dyDescent="0.3">
      <c r="A104" s="40"/>
      <c r="B104" s="24" t="s">
        <v>34</v>
      </c>
      <c r="C104" s="28">
        <f>IF(C103="","",IF(AND(MONTH(C103)&gt;=1,MONTH(C103)&lt;=3),1,IF(AND(MONTH(C103)&gt;=4,MONTH(C103)&lt;=6),2,IF(AND(MONTH(C103)&gt;=7,MONTH(C103)&lt;=9),3,4))))</f>
        <v>2</v>
      </c>
      <c r="D104" s="40"/>
      <c r="E104" s="26" t="s">
        <v>35</v>
      </c>
      <c r="F104" s="27" t="s">
        <v>36</v>
      </c>
    </row>
    <row r="105" spans="1:6" ht="14.25" customHeight="1" thickBot="1" x14ac:dyDescent="0.3">
      <c r="A105" s="40"/>
      <c r="B105" s="24" t="s">
        <v>37</v>
      </c>
      <c r="C105" s="25">
        <v>45768</v>
      </c>
      <c r="D105" s="40"/>
      <c r="E105" s="26" t="s">
        <v>38</v>
      </c>
      <c r="F105" s="27" t="s">
        <v>36</v>
      </c>
    </row>
    <row r="106" spans="1:6" ht="14.25" customHeight="1" thickBot="1" x14ac:dyDescent="0.3">
      <c r="A106" s="40"/>
      <c r="B106" s="24" t="s">
        <v>34</v>
      </c>
      <c r="C106" s="28">
        <f>IF(C105="","",IF(AND(MONTH(C105)&gt;=1,MONTH(C105)&lt;=3),1,IF(AND(MONTH(C105)&gt;=4,MONTH(C105)&lt;=6),2,IF(AND(MONTH(C105)&gt;=7,MONTH(C105)&lt;=9),3,4))))</f>
        <v>2</v>
      </c>
      <c r="D106" s="40"/>
      <c r="E106" s="26" t="s">
        <v>39</v>
      </c>
      <c r="F106" s="27"/>
    </row>
    <row r="108" spans="1:6" ht="14.25" customHeight="1" thickBot="1" x14ac:dyDescent="0.3">
      <c r="A108" s="29" t="s">
        <v>40</v>
      </c>
      <c r="B108" s="29" t="s">
        <v>41</v>
      </c>
      <c r="C108" s="29" t="s">
        <v>42</v>
      </c>
      <c r="D108" s="29" t="s">
        <v>43</v>
      </c>
      <c r="E108" s="29" t="s">
        <v>44</v>
      </c>
      <c r="F108" s="29" t="s">
        <v>45</v>
      </c>
    </row>
    <row r="109" spans="1:6" ht="14.25" customHeight="1" x14ac:dyDescent="0.25">
      <c r="A109" s="30" t="s">
        <v>68</v>
      </c>
      <c r="B109" s="31" t="str">
        <f ca="1">IFERROR(INDEX(UNSPSCDes,MATCH(INDIRECT(ADDRESS(ROW(),COLUMN()-1,4)),UNSPSCCode,0)),IF(INDIRECT(ADDRESS(ROW(),COLUMN()-1,4))="86101705","Capacitación administrativa",""))</f>
        <v>Capacitación administrativa</v>
      </c>
      <c r="C109" s="32" t="str">
        <f>IFERROR(VLOOKUP("UD",'[1]Informacion '!P:Q,2,FALSE),"")</f>
        <v>Unidad</v>
      </c>
      <c r="D109" s="30">
        <v>1</v>
      </c>
      <c r="E109" s="33">
        <v>85000</v>
      </c>
      <c r="F109" s="34">
        <f ca="1">INDIRECT(ADDRESS(ROW(),COLUMN()-2,4))*INDIRECT(ADDRESS(ROW(),COLUMN()-1,4))</f>
        <v>85000</v>
      </c>
    </row>
    <row r="110" spans="1:6" ht="14.25" customHeight="1" x14ac:dyDescent="0.25">
      <c r="A110" s="30" t="s">
        <v>68</v>
      </c>
      <c r="B110" s="31" t="str">
        <f ca="1">IFERROR(INDEX(UNSPSCDes,MATCH(INDIRECT(ADDRESS(ROW(),COLUMN()-1,4)),UNSPSCCode,0)),IF(INDIRECT(ADDRESS(ROW(),COLUMN()-1,4))="86101705","Capacitación administrativa",""))</f>
        <v>Capacitación administrativa</v>
      </c>
      <c r="C110" s="32" t="str">
        <f>IFERROR(VLOOKUP("UD",'[1]Informacion '!P:Q,2,FALSE),"")</f>
        <v>Unidad</v>
      </c>
      <c r="D110" s="30">
        <v>1</v>
      </c>
      <c r="E110" s="33">
        <v>45000</v>
      </c>
      <c r="F110" s="34">
        <f ca="1">INDIRECT(ADDRESS(ROW(),COLUMN()-2,4))*INDIRECT(ADDRESS(ROW(),COLUMN()-1,4))</f>
        <v>45000</v>
      </c>
    </row>
    <row r="111" spans="1:6" ht="14.25" customHeight="1" x14ac:dyDescent="0.25">
      <c r="A111" s="30" t="s">
        <v>69</v>
      </c>
      <c r="B111" s="31" t="str">
        <f ca="1">IFERROR(INDEX(UNSPSCDes,MATCH(INDIRECT(ADDRESS(ROW(),COLUMN()-1,4)),UNSPSCCode,0)),IF(INDIRECT(ADDRESS(ROW(),COLUMN()-1,4))="86101802","Servicios de capacitación en readiestramiento o repaso",""))</f>
        <v>Servicios de capacitación en readiestramiento o repaso</v>
      </c>
      <c r="C111" s="32" t="str">
        <f>IFERROR(VLOOKUP("UD",'[1]Informacion '!P:Q,2,FALSE),"")</f>
        <v>Unidad</v>
      </c>
      <c r="D111" s="30">
        <v>1</v>
      </c>
      <c r="E111" s="33">
        <v>240000</v>
      </c>
      <c r="F111" s="34">
        <f ca="1">INDIRECT(ADDRESS(ROW(),COLUMN()-2,4))*INDIRECT(ADDRESS(ROW(),COLUMN()-1,4))</f>
        <v>240000</v>
      </c>
    </row>
    <row r="112" spans="1:6" ht="14.25" customHeight="1" x14ac:dyDescent="0.25">
      <c r="E112" s="35" t="s">
        <v>47</v>
      </c>
      <c r="F112" s="36">
        <f ca="1">SUM(Table11[MONTO TOTAL ESTIMADO])</f>
        <v>370000</v>
      </c>
    </row>
    <row r="114" spans="1:6" ht="33.950000000000003" customHeight="1" thickBot="1" x14ac:dyDescent="0.3">
      <c r="A114" s="21" t="s">
        <v>19</v>
      </c>
      <c r="B114" s="21" t="s">
        <v>20</v>
      </c>
      <c r="C114" s="21" t="s">
        <v>21</v>
      </c>
      <c r="D114" s="21" t="s">
        <v>22</v>
      </c>
      <c r="E114" s="21" t="s">
        <v>23</v>
      </c>
      <c r="F114" s="21" t="s">
        <v>24</v>
      </c>
    </row>
    <row r="115" spans="1:6" ht="14.25" customHeight="1" thickBot="1" x14ac:dyDescent="0.3">
      <c r="A115" s="23" t="s">
        <v>70</v>
      </c>
      <c r="B115" s="23" t="s">
        <v>70</v>
      </c>
      <c r="C115" s="23" t="s">
        <v>26</v>
      </c>
      <c r="D115" s="23" t="s">
        <v>62</v>
      </c>
      <c r="E115" s="23" t="s">
        <v>52</v>
      </c>
      <c r="F115" s="23"/>
    </row>
    <row r="116" spans="1:6" ht="14.25" customHeight="1" thickBot="1" x14ac:dyDescent="0.3">
      <c r="A116" s="39" t="s">
        <v>29</v>
      </c>
      <c r="B116" s="24" t="s">
        <v>30</v>
      </c>
      <c r="C116" s="25">
        <v>45845</v>
      </c>
      <c r="D116" s="39" t="s">
        <v>31</v>
      </c>
      <c r="E116" s="26" t="s">
        <v>32</v>
      </c>
      <c r="F116" s="27" t="s">
        <v>33</v>
      </c>
    </row>
    <row r="117" spans="1:6" ht="14.25" customHeight="1" thickBot="1" x14ac:dyDescent="0.3">
      <c r="A117" s="40"/>
      <c r="B117" s="24" t="s">
        <v>34</v>
      </c>
      <c r="C117" s="28">
        <f>IF(C116="","",IF(AND(MONTH(C116)&gt;=1,MONTH(C116)&lt;=3),1,IF(AND(MONTH(C116)&gt;=4,MONTH(C116)&lt;=6),2,IF(AND(MONTH(C116)&gt;=7,MONTH(C116)&lt;=9),3,4))))</f>
        <v>3</v>
      </c>
      <c r="D117" s="40"/>
      <c r="E117" s="26" t="s">
        <v>35</v>
      </c>
      <c r="F117" s="27" t="s">
        <v>36</v>
      </c>
    </row>
    <row r="118" spans="1:6" ht="14.25" customHeight="1" thickBot="1" x14ac:dyDescent="0.3">
      <c r="A118" s="40"/>
      <c r="B118" s="24" t="s">
        <v>37</v>
      </c>
      <c r="C118" s="25">
        <v>45859</v>
      </c>
      <c r="D118" s="40"/>
      <c r="E118" s="26" t="s">
        <v>38</v>
      </c>
      <c r="F118" s="27" t="s">
        <v>36</v>
      </c>
    </row>
    <row r="119" spans="1:6" ht="14.25" customHeight="1" thickBot="1" x14ac:dyDescent="0.3">
      <c r="A119" s="40"/>
      <c r="B119" s="24" t="s">
        <v>34</v>
      </c>
      <c r="C119" s="28">
        <f>IF(C118="","",IF(AND(MONTH(C118)&gt;=1,MONTH(C118)&lt;=3),1,IF(AND(MONTH(C118)&gt;=4,MONTH(C118)&lt;=6),2,IF(AND(MONTH(C118)&gt;=7,MONTH(C118)&lt;=9),3,4))))</f>
        <v>3</v>
      </c>
      <c r="D119" s="40"/>
      <c r="E119" s="26" t="s">
        <v>39</v>
      </c>
      <c r="F119" s="27"/>
    </row>
    <row r="121" spans="1:6" ht="14.25" customHeight="1" thickBot="1" x14ac:dyDescent="0.3">
      <c r="A121" s="29" t="s">
        <v>40</v>
      </c>
      <c r="B121" s="29" t="s">
        <v>41</v>
      </c>
      <c r="C121" s="29" t="s">
        <v>42</v>
      </c>
      <c r="D121" s="29" t="s">
        <v>43</v>
      </c>
      <c r="E121" s="29" t="s">
        <v>44</v>
      </c>
      <c r="F121" s="29" t="s">
        <v>45</v>
      </c>
    </row>
    <row r="122" spans="1:6" ht="14.25" customHeight="1" x14ac:dyDescent="0.25">
      <c r="A122" s="30" t="s">
        <v>68</v>
      </c>
      <c r="B122" s="31" t="str">
        <f ca="1">IFERROR(INDEX(UNSPSCDes,MATCH(INDIRECT(ADDRESS(ROW(),COLUMN()-1,4)),UNSPSCCode,0)),IF(INDIRECT(ADDRESS(ROW(),COLUMN()-1,4))="86101705","Capacitación administrativa",""))</f>
        <v>Capacitación administrativa</v>
      </c>
      <c r="C122" s="32" t="str">
        <f>IFERROR(VLOOKUP("UD",'[1]Informacion '!P:Q,2,FALSE),"")</f>
        <v>Unidad</v>
      </c>
      <c r="D122" s="30">
        <v>1</v>
      </c>
      <c r="E122" s="33">
        <v>250000</v>
      </c>
      <c r="F122" s="34">
        <f ca="1">INDIRECT(ADDRESS(ROW(),COLUMN()-2,4))*INDIRECT(ADDRESS(ROW(),COLUMN()-1,4))</f>
        <v>250000</v>
      </c>
    </row>
    <row r="123" spans="1:6" ht="14.25" customHeight="1" x14ac:dyDescent="0.25">
      <c r="E123" s="35" t="s">
        <v>47</v>
      </c>
      <c r="F123" s="36">
        <f ca="1">SUM(Table12[MONTO TOTAL ESTIMADO])</f>
        <v>250000</v>
      </c>
    </row>
    <row r="125" spans="1:6" ht="33.950000000000003" customHeight="1" thickBot="1" x14ac:dyDescent="0.3">
      <c r="A125" s="21" t="s">
        <v>19</v>
      </c>
      <c r="B125" s="21" t="s">
        <v>20</v>
      </c>
      <c r="C125" s="21" t="s">
        <v>21</v>
      </c>
      <c r="D125" s="21" t="s">
        <v>22</v>
      </c>
      <c r="E125" s="21" t="s">
        <v>23</v>
      </c>
      <c r="F125" s="21" t="s">
        <v>24</v>
      </c>
    </row>
    <row r="126" spans="1:6" ht="14.25" customHeight="1" thickBot="1" x14ac:dyDescent="0.3">
      <c r="A126" s="23" t="s">
        <v>71</v>
      </c>
      <c r="B126" s="23" t="s">
        <v>71</v>
      </c>
      <c r="C126" s="23" t="s">
        <v>26</v>
      </c>
      <c r="D126" s="23" t="s">
        <v>72</v>
      </c>
      <c r="E126" s="23" t="s">
        <v>52</v>
      </c>
      <c r="F126" s="23"/>
    </row>
    <row r="127" spans="1:6" ht="14.25" customHeight="1" thickBot="1" x14ac:dyDescent="0.3">
      <c r="A127" s="39" t="s">
        <v>29</v>
      </c>
      <c r="B127" s="24" t="s">
        <v>30</v>
      </c>
      <c r="C127" s="25">
        <v>45685</v>
      </c>
      <c r="D127" s="39" t="s">
        <v>31</v>
      </c>
      <c r="E127" s="26" t="s">
        <v>32</v>
      </c>
      <c r="F127" s="27" t="s">
        <v>33</v>
      </c>
    </row>
    <row r="128" spans="1:6" ht="14.25" customHeight="1" thickBot="1" x14ac:dyDescent="0.3">
      <c r="A128" s="40"/>
      <c r="B128" s="24" t="s">
        <v>34</v>
      </c>
      <c r="C128" s="28">
        <f>IF(C127="","",IF(AND(MONTH(C127)&gt;=1,MONTH(C127)&lt;=3),1,IF(AND(MONTH(C127)&gt;=4,MONTH(C127)&lt;=6),2,IF(AND(MONTH(C127)&gt;=7,MONTH(C127)&lt;=9),3,4))))</f>
        <v>1</v>
      </c>
      <c r="D128" s="40"/>
      <c r="E128" s="26" t="s">
        <v>35</v>
      </c>
      <c r="F128" s="27" t="s">
        <v>36</v>
      </c>
    </row>
    <row r="129" spans="1:6" ht="14.25" customHeight="1" thickBot="1" x14ac:dyDescent="0.3">
      <c r="A129" s="40"/>
      <c r="B129" s="24" t="s">
        <v>37</v>
      </c>
      <c r="C129" s="25">
        <v>45694</v>
      </c>
      <c r="D129" s="40"/>
      <c r="E129" s="26" t="s">
        <v>38</v>
      </c>
      <c r="F129" s="27" t="s">
        <v>36</v>
      </c>
    </row>
    <row r="130" spans="1:6" ht="14.25" customHeight="1" thickBot="1" x14ac:dyDescent="0.3">
      <c r="A130" s="40"/>
      <c r="B130" s="24" t="s">
        <v>34</v>
      </c>
      <c r="C130" s="28">
        <f>IF(C129="","",IF(AND(MONTH(C129)&gt;=1,MONTH(C129)&lt;=3),1,IF(AND(MONTH(C129)&gt;=4,MONTH(C129)&lt;=6),2,IF(AND(MONTH(C129)&gt;=7,MONTH(C129)&lt;=9),3,4))))</f>
        <v>1</v>
      </c>
      <c r="D130" s="40"/>
      <c r="E130" s="26" t="s">
        <v>39</v>
      </c>
      <c r="F130" s="27"/>
    </row>
    <row r="132" spans="1:6" ht="14.25" customHeight="1" thickBot="1" x14ac:dyDescent="0.3">
      <c r="A132" s="29" t="s">
        <v>40</v>
      </c>
      <c r="B132" s="29" t="s">
        <v>41</v>
      </c>
      <c r="C132" s="29" t="s">
        <v>42</v>
      </c>
      <c r="D132" s="29" t="s">
        <v>43</v>
      </c>
      <c r="E132" s="29" t="s">
        <v>44</v>
      </c>
      <c r="F132" s="29" t="s">
        <v>45</v>
      </c>
    </row>
    <row r="133" spans="1:6" ht="14.25" customHeight="1" x14ac:dyDescent="0.25">
      <c r="A133" s="30" t="s">
        <v>73</v>
      </c>
      <c r="B133" s="31" t="str">
        <f t="shared" ref="B133:B138" ca="1" si="0">IFERROR(INDEX(UNSPSCDes,MATCH(INDIRECT(ADDRESS(ROW(),COLUMN()-1,4)),UNSPSCCode,0)),IF(INDIRECT(ADDRESS(ROW(),COLUMN()-1,4))="80131502","Arrendamiento de instalaciones comerciales o industriales",""))</f>
        <v>Arrendamiento de instalaciones comerciales o industriales</v>
      </c>
      <c r="C133" s="32" t="str">
        <f>IFERROR(VLOOKUP("UD",'[1]Informacion '!P:Q,2,FALSE),"")</f>
        <v>Unidad</v>
      </c>
      <c r="D133" s="30">
        <v>1</v>
      </c>
      <c r="E133" s="33">
        <v>1652610.71</v>
      </c>
      <c r="F133" s="34">
        <f t="shared" ref="F133:F138" ca="1" si="1">INDIRECT(ADDRESS(ROW(),COLUMN()-2,4))*INDIRECT(ADDRESS(ROW(),COLUMN()-1,4))</f>
        <v>1652610.71</v>
      </c>
    </row>
    <row r="134" spans="1:6" ht="14.25" customHeight="1" x14ac:dyDescent="0.25">
      <c r="A134" s="30" t="s">
        <v>73</v>
      </c>
      <c r="B134" s="31" t="str">
        <f t="shared" ca="1" si="0"/>
        <v>Arrendamiento de instalaciones comerciales o industriales</v>
      </c>
      <c r="C134" s="32" t="str">
        <f>IFERROR(VLOOKUP("UD",'[1]Informacion '!P:Q,2,FALSE),"")</f>
        <v>Unidad</v>
      </c>
      <c r="D134" s="30">
        <v>1</v>
      </c>
      <c r="E134" s="33">
        <v>1126279.73</v>
      </c>
      <c r="F134" s="34">
        <f t="shared" ca="1" si="1"/>
        <v>1126279.73</v>
      </c>
    </row>
    <row r="135" spans="1:6" ht="14.25" customHeight="1" x14ac:dyDescent="0.25">
      <c r="A135" s="30" t="s">
        <v>73</v>
      </c>
      <c r="B135" s="31" t="str">
        <f t="shared" ca="1" si="0"/>
        <v>Arrendamiento de instalaciones comerciales o industriales</v>
      </c>
      <c r="C135" s="32" t="str">
        <f>IFERROR(VLOOKUP("UD",'[1]Informacion '!P:Q,2,FALSE),"")</f>
        <v>Unidad</v>
      </c>
      <c r="D135" s="30">
        <v>1</v>
      </c>
      <c r="E135" s="33">
        <v>13897574.84</v>
      </c>
      <c r="F135" s="34">
        <f t="shared" ca="1" si="1"/>
        <v>13897574.84</v>
      </c>
    </row>
    <row r="136" spans="1:6" ht="14.25" customHeight="1" x14ac:dyDescent="0.25">
      <c r="A136" s="30" t="s">
        <v>73</v>
      </c>
      <c r="B136" s="31" t="str">
        <f t="shared" ca="1" si="0"/>
        <v>Arrendamiento de instalaciones comerciales o industriales</v>
      </c>
      <c r="C136" s="32" t="str">
        <f>IFERROR(VLOOKUP("UD",'[1]Informacion '!P:Q,2,FALSE),"")</f>
        <v>Unidad</v>
      </c>
      <c r="D136" s="30">
        <v>1</v>
      </c>
      <c r="E136" s="33">
        <v>934502.40000000002</v>
      </c>
      <c r="F136" s="34">
        <f t="shared" ca="1" si="1"/>
        <v>934502.40000000002</v>
      </c>
    </row>
    <row r="137" spans="1:6" ht="14.25" customHeight="1" x14ac:dyDescent="0.25">
      <c r="A137" s="30" t="s">
        <v>73</v>
      </c>
      <c r="B137" s="31" t="str">
        <f t="shared" ca="1" si="0"/>
        <v>Arrendamiento de instalaciones comerciales o industriales</v>
      </c>
      <c r="C137" s="32" t="str">
        <f>IFERROR(VLOOKUP("UD",'[1]Informacion '!P:Q,2,FALSE),"")</f>
        <v>Unidad</v>
      </c>
      <c r="D137" s="30">
        <v>1</v>
      </c>
      <c r="E137" s="33">
        <v>548012.4</v>
      </c>
      <c r="F137" s="34">
        <f t="shared" ca="1" si="1"/>
        <v>548012.4</v>
      </c>
    </row>
    <row r="138" spans="1:6" ht="14.25" customHeight="1" x14ac:dyDescent="0.25">
      <c r="A138" s="30" t="s">
        <v>73</v>
      </c>
      <c r="B138" s="31" t="str">
        <f t="shared" ca="1" si="0"/>
        <v>Arrendamiento de instalaciones comerciales o industriales</v>
      </c>
      <c r="C138" s="32" t="str">
        <f>IFERROR(VLOOKUP("UD",'[1]Informacion '!P:Q,2,FALSE),"")</f>
        <v>Unidad</v>
      </c>
      <c r="D138" s="30">
        <v>1</v>
      </c>
      <c r="E138" s="33">
        <v>805896</v>
      </c>
      <c r="F138" s="34">
        <f t="shared" ca="1" si="1"/>
        <v>805896</v>
      </c>
    </row>
    <row r="139" spans="1:6" ht="14.25" customHeight="1" x14ac:dyDescent="0.25">
      <c r="E139" s="35" t="s">
        <v>47</v>
      </c>
      <c r="F139" s="36">
        <f ca="1">SUM(Table13[MONTO TOTAL ESTIMADO])</f>
        <v>18964876.079999998</v>
      </c>
    </row>
    <row r="141" spans="1:6" ht="33.950000000000003" customHeight="1" thickBot="1" x14ac:dyDescent="0.3">
      <c r="A141" s="21" t="s">
        <v>19</v>
      </c>
      <c r="B141" s="21" t="s">
        <v>20</v>
      </c>
      <c r="C141" s="21" t="s">
        <v>21</v>
      </c>
      <c r="D141" s="21" t="s">
        <v>22</v>
      </c>
      <c r="E141" s="21" t="s">
        <v>23</v>
      </c>
      <c r="F141" s="21" t="s">
        <v>24</v>
      </c>
    </row>
    <row r="142" spans="1:6" ht="14.25" customHeight="1" thickBot="1" x14ac:dyDescent="0.3">
      <c r="A142" s="23" t="s">
        <v>74</v>
      </c>
      <c r="B142" s="23" t="s">
        <v>74</v>
      </c>
      <c r="C142" s="23" t="s">
        <v>26</v>
      </c>
      <c r="D142" s="23" t="s">
        <v>62</v>
      </c>
      <c r="E142" s="23" t="s">
        <v>52</v>
      </c>
      <c r="F142" s="23"/>
    </row>
    <row r="143" spans="1:6" ht="14.25" customHeight="1" thickBot="1" x14ac:dyDescent="0.3">
      <c r="A143" s="39" t="s">
        <v>29</v>
      </c>
      <c r="B143" s="24" t="s">
        <v>30</v>
      </c>
      <c r="C143" s="25">
        <v>45936</v>
      </c>
      <c r="D143" s="39" t="s">
        <v>31</v>
      </c>
      <c r="E143" s="26" t="s">
        <v>32</v>
      </c>
      <c r="F143" s="27" t="s">
        <v>33</v>
      </c>
    </row>
    <row r="144" spans="1:6" ht="14.25" customHeight="1" thickBot="1" x14ac:dyDescent="0.3">
      <c r="A144" s="40"/>
      <c r="B144" s="24" t="s">
        <v>34</v>
      </c>
      <c r="C144" s="28">
        <f>IF(C143="","",IF(AND(MONTH(C143)&gt;=1,MONTH(C143)&lt;=3),1,IF(AND(MONTH(C143)&gt;=4,MONTH(C143)&lt;=6),2,IF(AND(MONTH(C143)&gt;=7,MONTH(C143)&lt;=9),3,4))))</f>
        <v>4</v>
      </c>
      <c r="D144" s="40"/>
      <c r="E144" s="26" t="s">
        <v>35</v>
      </c>
      <c r="F144" s="27" t="s">
        <v>36</v>
      </c>
    </row>
    <row r="145" spans="1:6" ht="14.25" customHeight="1" thickBot="1" x14ac:dyDescent="0.3">
      <c r="A145" s="40"/>
      <c r="B145" s="24" t="s">
        <v>37</v>
      </c>
      <c r="C145" s="25">
        <v>45950</v>
      </c>
      <c r="D145" s="40"/>
      <c r="E145" s="26" t="s">
        <v>38</v>
      </c>
      <c r="F145" s="27" t="s">
        <v>36</v>
      </c>
    </row>
    <row r="146" spans="1:6" ht="14.25" customHeight="1" thickBot="1" x14ac:dyDescent="0.3">
      <c r="A146" s="40"/>
      <c r="B146" s="24" t="s">
        <v>34</v>
      </c>
      <c r="C146" s="28">
        <f>IF(C145="","",IF(AND(MONTH(C145)&gt;=1,MONTH(C145)&lt;=3),1,IF(AND(MONTH(C145)&gt;=4,MONTH(C145)&lt;=6),2,IF(AND(MONTH(C145)&gt;=7,MONTH(C145)&lt;=9),3,4))))</f>
        <v>4</v>
      </c>
      <c r="D146" s="40"/>
      <c r="E146" s="26" t="s">
        <v>39</v>
      </c>
      <c r="F146" s="27"/>
    </row>
    <row r="148" spans="1:6" ht="14.25" customHeight="1" thickBot="1" x14ac:dyDescent="0.3">
      <c r="A148" s="29" t="s">
        <v>40</v>
      </c>
      <c r="B148" s="29" t="s">
        <v>41</v>
      </c>
      <c r="C148" s="29" t="s">
        <v>42</v>
      </c>
      <c r="D148" s="29" t="s">
        <v>43</v>
      </c>
      <c r="E148" s="29" t="s">
        <v>44</v>
      </c>
      <c r="F148" s="29" t="s">
        <v>45</v>
      </c>
    </row>
    <row r="149" spans="1:6" ht="14.25" customHeight="1" x14ac:dyDescent="0.25">
      <c r="A149" s="30" t="s">
        <v>75</v>
      </c>
      <c r="B149" s="31" t="str">
        <f ca="1">IFERROR(INDEX(UNSPSCDes,MATCH(INDIRECT(ADDRESS(ROW(),COLUMN()-1,4)),UNSPSCCode,0)),IF(INDIRECT(ADDRESS(ROW(),COLUMN()-1,4))="90101802","Servicios de comidas a domicilio",""))</f>
        <v>Servicios de comidas a domicilio</v>
      </c>
      <c r="C149" s="32" t="str">
        <f>IFERROR(VLOOKUP("UD",'[1]Informacion '!P:Q,2,FALSE),"")</f>
        <v>Unidad</v>
      </c>
      <c r="D149" s="30">
        <v>1</v>
      </c>
      <c r="E149" s="33">
        <v>800000</v>
      </c>
      <c r="F149" s="34">
        <f ca="1">INDIRECT(ADDRESS(ROW(),COLUMN()-2,4))*INDIRECT(ADDRESS(ROW(),COLUMN()-1,4))</f>
        <v>800000</v>
      </c>
    </row>
    <row r="150" spans="1:6" ht="14.25" customHeight="1" x14ac:dyDescent="0.25">
      <c r="E150" s="35" t="s">
        <v>47</v>
      </c>
      <c r="F150" s="36">
        <f ca="1">SUM(Table14[MONTO TOTAL ESTIMADO])</f>
        <v>800000</v>
      </c>
    </row>
    <row r="152" spans="1:6" ht="33.950000000000003" customHeight="1" thickBot="1" x14ac:dyDescent="0.3">
      <c r="A152" s="21" t="s">
        <v>19</v>
      </c>
      <c r="B152" s="21" t="s">
        <v>20</v>
      </c>
      <c r="C152" s="21" t="s">
        <v>21</v>
      </c>
      <c r="D152" s="21" t="s">
        <v>22</v>
      </c>
      <c r="E152" s="21" t="s">
        <v>23</v>
      </c>
      <c r="F152" s="21" t="s">
        <v>24</v>
      </c>
    </row>
    <row r="153" spans="1:6" ht="14.25" customHeight="1" thickBot="1" x14ac:dyDescent="0.3">
      <c r="A153" s="23" t="s">
        <v>76</v>
      </c>
      <c r="B153" s="23" t="s">
        <v>76</v>
      </c>
      <c r="C153" s="23" t="s">
        <v>26</v>
      </c>
      <c r="D153" s="23" t="s">
        <v>62</v>
      </c>
      <c r="E153" s="23" t="s">
        <v>49</v>
      </c>
      <c r="F153" s="23"/>
    </row>
    <row r="154" spans="1:6" ht="14.25" customHeight="1" thickBot="1" x14ac:dyDescent="0.3">
      <c r="A154" s="39" t="s">
        <v>29</v>
      </c>
      <c r="B154" s="24" t="s">
        <v>30</v>
      </c>
      <c r="C154" s="25">
        <v>45824</v>
      </c>
      <c r="D154" s="39" t="s">
        <v>31</v>
      </c>
      <c r="E154" s="26" t="s">
        <v>32</v>
      </c>
      <c r="F154" s="27" t="s">
        <v>33</v>
      </c>
    </row>
    <row r="155" spans="1:6" ht="14.25" customHeight="1" thickBot="1" x14ac:dyDescent="0.3">
      <c r="A155" s="40"/>
      <c r="B155" s="24" t="s">
        <v>34</v>
      </c>
      <c r="C155" s="28">
        <f>IF(C154="","",IF(AND(MONTH(C154)&gt;=1,MONTH(C154)&lt;=3),1,IF(AND(MONTH(C154)&gt;=4,MONTH(C154)&lt;=6),2,IF(AND(MONTH(C154)&gt;=7,MONTH(C154)&lt;=9),3,4))))</f>
        <v>2</v>
      </c>
      <c r="D155" s="40"/>
      <c r="E155" s="26" t="s">
        <v>35</v>
      </c>
      <c r="F155" s="27" t="s">
        <v>36</v>
      </c>
    </row>
    <row r="156" spans="1:6" ht="14.25" customHeight="1" thickBot="1" x14ac:dyDescent="0.3">
      <c r="A156" s="40"/>
      <c r="B156" s="24" t="s">
        <v>37</v>
      </c>
      <c r="C156" s="25">
        <v>45838</v>
      </c>
      <c r="D156" s="40"/>
      <c r="E156" s="26" t="s">
        <v>38</v>
      </c>
      <c r="F156" s="27" t="s">
        <v>36</v>
      </c>
    </row>
    <row r="157" spans="1:6" ht="14.25" customHeight="1" thickBot="1" x14ac:dyDescent="0.3">
      <c r="A157" s="40"/>
      <c r="B157" s="24" t="s">
        <v>34</v>
      </c>
      <c r="C157" s="28">
        <f>IF(C156="","",IF(AND(MONTH(C156)&gt;=1,MONTH(C156)&lt;=3),1,IF(AND(MONTH(C156)&gt;=4,MONTH(C156)&lt;=6),2,IF(AND(MONTH(C156)&gt;=7,MONTH(C156)&lt;=9),3,4))))</f>
        <v>2</v>
      </c>
      <c r="D157" s="40"/>
      <c r="E157" s="26" t="s">
        <v>39</v>
      </c>
      <c r="F157" s="27"/>
    </row>
    <row r="159" spans="1:6" ht="14.25" customHeight="1" thickBot="1" x14ac:dyDescent="0.3">
      <c r="A159" s="29" t="s">
        <v>40</v>
      </c>
      <c r="B159" s="29" t="s">
        <v>41</v>
      </c>
      <c r="C159" s="29" t="s">
        <v>42</v>
      </c>
      <c r="D159" s="29" t="s">
        <v>43</v>
      </c>
      <c r="E159" s="29" t="s">
        <v>44</v>
      </c>
      <c r="F159" s="29" t="s">
        <v>45</v>
      </c>
    </row>
    <row r="160" spans="1:6" ht="14.25" customHeight="1" x14ac:dyDescent="0.25">
      <c r="A160" s="30" t="s">
        <v>77</v>
      </c>
      <c r="B160" s="31" t="str">
        <f ca="1">IFERROR(INDEX(UNSPSCDes,MATCH(INDIRECT(ADDRESS(ROW(),COLUMN()-1,4)),UNSPSCCode,0)),IF(INDIRECT(ADDRESS(ROW(),COLUMN()-1,4))="72102103","Servicios de exterminación o fumigación",""))</f>
        <v>Servicios de exterminación o fumigación</v>
      </c>
      <c r="C160" s="32" t="str">
        <f>IFERROR(VLOOKUP("UD",'[1]Informacion '!P:Q,2,FALSE),"")</f>
        <v>Unidad</v>
      </c>
      <c r="D160" s="30">
        <v>1</v>
      </c>
      <c r="E160" s="33">
        <v>150000</v>
      </c>
      <c r="F160" s="34">
        <f ca="1">INDIRECT(ADDRESS(ROW(),COLUMN()-2,4))*INDIRECT(ADDRESS(ROW(),COLUMN()-1,4))</f>
        <v>150000</v>
      </c>
    </row>
    <row r="161" spans="1:6" ht="14.25" customHeight="1" x14ac:dyDescent="0.25">
      <c r="E161" s="35" t="s">
        <v>47</v>
      </c>
      <c r="F161" s="36">
        <f ca="1">SUM(Table15[MONTO TOTAL ESTIMADO])</f>
        <v>150000</v>
      </c>
    </row>
    <row r="163" spans="1:6" ht="33.950000000000003" customHeight="1" thickBot="1" x14ac:dyDescent="0.3">
      <c r="A163" s="21" t="s">
        <v>19</v>
      </c>
      <c r="B163" s="21" t="s">
        <v>20</v>
      </c>
      <c r="C163" s="21" t="s">
        <v>21</v>
      </c>
      <c r="D163" s="21" t="s">
        <v>22</v>
      </c>
      <c r="E163" s="21" t="s">
        <v>23</v>
      </c>
      <c r="F163" s="21" t="s">
        <v>24</v>
      </c>
    </row>
    <row r="164" spans="1:6" ht="14.25" customHeight="1" thickBot="1" x14ac:dyDescent="0.3">
      <c r="A164" s="23" t="s">
        <v>78</v>
      </c>
      <c r="B164" s="23" t="s">
        <v>78</v>
      </c>
      <c r="C164" s="23" t="s">
        <v>55</v>
      </c>
      <c r="D164" s="23" t="s">
        <v>62</v>
      </c>
      <c r="E164" s="23" t="s">
        <v>52</v>
      </c>
      <c r="F164" s="23"/>
    </row>
    <row r="165" spans="1:6" ht="14.25" customHeight="1" thickBot="1" x14ac:dyDescent="0.3">
      <c r="A165" s="39" t="s">
        <v>29</v>
      </c>
      <c r="B165" s="24" t="s">
        <v>30</v>
      </c>
      <c r="C165" s="25">
        <v>45824</v>
      </c>
      <c r="D165" s="39" t="s">
        <v>31</v>
      </c>
      <c r="E165" s="26" t="s">
        <v>32</v>
      </c>
      <c r="F165" s="27" t="s">
        <v>33</v>
      </c>
    </row>
    <row r="166" spans="1:6" ht="14.25" customHeight="1" thickBot="1" x14ac:dyDescent="0.3">
      <c r="A166" s="40"/>
      <c r="B166" s="24" t="s">
        <v>34</v>
      </c>
      <c r="C166" s="28">
        <f>IF(C165="","",IF(AND(MONTH(C165)&gt;=1,MONTH(C165)&lt;=3),1,IF(AND(MONTH(C165)&gt;=4,MONTH(C165)&lt;=6),2,IF(AND(MONTH(C165)&gt;=7,MONTH(C165)&lt;=9),3,4))))</f>
        <v>2</v>
      </c>
      <c r="D166" s="40"/>
      <c r="E166" s="26" t="s">
        <v>35</v>
      </c>
      <c r="F166" s="27" t="s">
        <v>36</v>
      </c>
    </row>
    <row r="167" spans="1:6" ht="14.25" customHeight="1" thickBot="1" x14ac:dyDescent="0.3">
      <c r="A167" s="40"/>
      <c r="B167" s="24" t="s">
        <v>37</v>
      </c>
      <c r="C167" s="25">
        <v>45838</v>
      </c>
      <c r="D167" s="40"/>
      <c r="E167" s="26" t="s">
        <v>38</v>
      </c>
      <c r="F167" s="27" t="s">
        <v>36</v>
      </c>
    </row>
    <row r="168" spans="1:6" ht="14.25" customHeight="1" thickBot="1" x14ac:dyDescent="0.3">
      <c r="A168" s="40"/>
      <c r="B168" s="24" t="s">
        <v>34</v>
      </c>
      <c r="C168" s="28">
        <f>IF(C167="","",IF(AND(MONTH(C167)&gt;=1,MONTH(C167)&lt;=3),1,IF(AND(MONTH(C167)&gt;=4,MONTH(C167)&lt;=6),2,IF(AND(MONTH(C167)&gt;=7,MONTH(C167)&lt;=9),3,4))))</f>
        <v>2</v>
      </c>
      <c r="D168" s="40"/>
      <c r="E168" s="26" t="s">
        <v>39</v>
      </c>
      <c r="F168" s="27"/>
    </row>
    <row r="170" spans="1:6" ht="14.25" customHeight="1" thickBot="1" x14ac:dyDescent="0.3">
      <c r="A170" s="29" t="s">
        <v>40</v>
      </c>
      <c r="B170" s="29" t="s">
        <v>41</v>
      </c>
      <c r="C170" s="29" t="s">
        <v>42</v>
      </c>
      <c r="D170" s="29" t="s">
        <v>43</v>
      </c>
      <c r="E170" s="29" t="s">
        <v>44</v>
      </c>
      <c r="F170" s="29" t="s">
        <v>45</v>
      </c>
    </row>
    <row r="171" spans="1:6" ht="14.25" customHeight="1" x14ac:dyDescent="0.25">
      <c r="A171" s="30" t="s">
        <v>79</v>
      </c>
      <c r="B171" s="31" t="str">
        <f ca="1">IFERROR(INDEX(UNSPSCDes,MATCH(INDIRECT(ADDRESS(ROW(),COLUMN()-1,4)),UNSPSCCode,0)),IF(INDIRECT(ADDRESS(ROW(),COLUMN()-1,4))="15101506","Gasolina",""))</f>
        <v>Gasolina</v>
      </c>
      <c r="C171" s="32" t="str">
        <f>IFERROR(VLOOKUP("UD",'[1]Informacion '!P:Q,2,FALSE),"")</f>
        <v>Unidad</v>
      </c>
      <c r="D171" s="30">
        <v>1</v>
      </c>
      <c r="E171" s="33">
        <v>300000</v>
      </c>
      <c r="F171" s="34">
        <f ca="1">INDIRECT(ADDRESS(ROW(),COLUMN()-2,4))*INDIRECT(ADDRESS(ROW(),COLUMN()-1,4))</f>
        <v>300000</v>
      </c>
    </row>
    <row r="172" spans="1:6" ht="14.25" customHeight="1" x14ac:dyDescent="0.25">
      <c r="A172" s="30" t="s">
        <v>80</v>
      </c>
      <c r="B172" s="31" t="str">
        <f ca="1">IFERROR(INDEX(UNSPSCDes,MATCH(INDIRECT(ADDRESS(ROW(),COLUMN()-1,4)),UNSPSCCode,0)),IF(INDIRECT(ADDRESS(ROW(),COLUMN()-1,4))="15101702","Fuel oils pesados residuales # 4 ó # 6",""))</f>
        <v>Fuel oils pesados residuales # 4 ó # 6</v>
      </c>
      <c r="C172" s="32" t="str">
        <f>IFERROR(VLOOKUP("UD",'[1]Informacion '!P:Q,2,FALSE),"")</f>
        <v>Unidad</v>
      </c>
      <c r="D172" s="30">
        <v>1</v>
      </c>
      <c r="E172" s="33">
        <v>100000</v>
      </c>
      <c r="F172" s="34">
        <f ca="1">INDIRECT(ADDRESS(ROW(),COLUMN()-2,4))*INDIRECT(ADDRESS(ROW(),COLUMN()-1,4))</f>
        <v>100000</v>
      </c>
    </row>
    <row r="173" spans="1:6" ht="14.25" customHeight="1" x14ac:dyDescent="0.25">
      <c r="E173" s="35" t="s">
        <v>47</v>
      </c>
      <c r="F173" s="36">
        <f ca="1">SUM(Table16[MONTO TOTAL ESTIMADO])</f>
        <v>400000</v>
      </c>
    </row>
    <row r="175" spans="1:6" ht="33.950000000000003" customHeight="1" thickBot="1" x14ac:dyDescent="0.3">
      <c r="A175" s="21" t="s">
        <v>19</v>
      </c>
      <c r="B175" s="21" t="s">
        <v>20</v>
      </c>
      <c r="C175" s="21" t="s">
        <v>21</v>
      </c>
      <c r="D175" s="21" t="s">
        <v>22</v>
      </c>
      <c r="E175" s="21" t="s">
        <v>23</v>
      </c>
      <c r="F175" s="21" t="s">
        <v>24</v>
      </c>
    </row>
    <row r="176" spans="1:6" ht="14.25" customHeight="1" thickBot="1" x14ac:dyDescent="0.3">
      <c r="A176" s="23" t="s">
        <v>81</v>
      </c>
      <c r="B176" s="23" t="s">
        <v>81</v>
      </c>
      <c r="C176" s="23" t="s">
        <v>55</v>
      </c>
      <c r="D176" s="23" t="s">
        <v>27</v>
      </c>
      <c r="E176" s="23" t="s">
        <v>52</v>
      </c>
      <c r="F176" s="23"/>
    </row>
    <row r="177" spans="1:6" ht="14.25" customHeight="1" thickBot="1" x14ac:dyDescent="0.3">
      <c r="A177" s="39" t="s">
        <v>29</v>
      </c>
      <c r="B177" s="24" t="s">
        <v>30</v>
      </c>
      <c r="C177" s="25">
        <v>45831</v>
      </c>
      <c r="D177" s="39" t="s">
        <v>31</v>
      </c>
      <c r="E177" s="26" t="s">
        <v>32</v>
      </c>
      <c r="F177" s="27" t="s">
        <v>33</v>
      </c>
    </row>
    <row r="178" spans="1:6" ht="14.25" customHeight="1" thickBot="1" x14ac:dyDescent="0.3">
      <c r="A178" s="40"/>
      <c r="B178" s="24" t="s">
        <v>34</v>
      </c>
      <c r="C178" s="28">
        <f>IF(C177="","",IF(AND(MONTH(C177)&gt;=1,MONTH(C177)&lt;=3),1,IF(AND(MONTH(C177)&gt;=4,MONTH(C177)&lt;=6),2,IF(AND(MONTH(C177)&gt;=7,MONTH(C177)&lt;=9),3,4))))</f>
        <v>2</v>
      </c>
      <c r="D178" s="40"/>
      <c r="E178" s="26" t="s">
        <v>35</v>
      </c>
      <c r="F178" s="27" t="s">
        <v>36</v>
      </c>
    </row>
    <row r="179" spans="1:6" ht="14.25" customHeight="1" thickBot="1" x14ac:dyDescent="0.3">
      <c r="A179" s="40"/>
      <c r="B179" s="24" t="s">
        <v>37</v>
      </c>
      <c r="C179" s="25">
        <v>45838</v>
      </c>
      <c r="D179" s="40"/>
      <c r="E179" s="26" t="s">
        <v>38</v>
      </c>
      <c r="F179" s="27" t="s">
        <v>36</v>
      </c>
    </row>
    <row r="180" spans="1:6" ht="14.25" customHeight="1" thickBot="1" x14ac:dyDescent="0.3">
      <c r="A180" s="40"/>
      <c r="B180" s="24" t="s">
        <v>34</v>
      </c>
      <c r="C180" s="28">
        <f>IF(C179="","",IF(AND(MONTH(C179)&gt;=1,MONTH(C179)&lt;=3),1,IF(AND(MONTH(C179)&gt;=4,MONTH(C179)&lt;=6),2,IF(AND(MONTH(C179)&gt;=7,MONTH(C179)&lt;=9),3,4))))</f>
        <v>2</v>
      </c>
      <c r="D180" s="40"/>
      <c r="E180" s="26" t="s">
        <v>39</v>
      </c>
      <c r="F180" s="27"/>
    </row>
    <row r="182" spans="1:6" ht="14.25" customHeight="1" thickBot="1" x14ac:dyDescent="0.3">
      <c r="A182" s="29" t="s">
        <v>40</v>
      </c>
      <c r="B182" s="29" t="s">
        <v>41</v>
      </c>
      <c r="C182" s="29" t="s">
        <v>42</v>
      </c>
      <c r="D182" s="29" t="s">
        <v>43</v>
      </c>
      <c r="E182" s="29" t="s">
        <v>44</v>
      </c>
      <c r="F182" s="29" t="s">
        <v>45</v>
      </c>
    </row>
    <row r="183" spans="1:6" ht="14.25" customHeight="1" x14ac:dyDescent="0.25">
      <c r="A183" s="30" t="s">
        <v>82</v>
      </c>
      <c r="B183" s="31" t="str">
        <f ca="1">IFERROR(INDEX(UNSPSCDes,MATCH(INDIRECT(ADDRESS(ROW(),COLUMN()-1,4)),UNSPSCCode,0)),IF(INDIRECT(ADDRESS(ROW(),COLUMN()-1,4))="50202301","Agua",""))</f>
        <v>Agua</v>
      </c>
      <c r="C183" s="32" t="str">
        <f>IFERROR(VLOOKUP("UD",'[1]Informacion '!P:Q,2,FALSE),"")</f>
        <v>Unidad</v>
      </c>
      <c r="D183" s="30">
        <v>1</v>
      </c>
      <c r="E183" s="33">
        <v>50000</v>
      </c>
      <c r="F183" s="34">
        <f ca="1">INDIRECT(ADDRESS(ROW(),COLUMN()-2,4))*INDIRECT(ADDRESS(ROW(),COLUMN()-1,4))</f>
        <v>50000</v>
      </c>
    </row>
    <row r="184" spans="1:6" ht="14.25" customHeight="1" x14ac:dyDescent="0.25">
      <c r="A184" s="30" t="s">
        <v>82</v>
      </c>
      <c r="B184" s="31" t="str">
        <f ca="1">IFERROR(INDEX(UNSPSCDes,MATCH(INDIRECT(ADDRESS(ROW(),COLUMN()-1,4)),UNSPSCCode,0)),IF(INDIRECT(ADDRESS(ROW(),COLUMN()-1,4))="50202301","Agua",""))</f>
        <v>Agua</v>
      </c>
      <c r="C184" s="32" t="str">
        <f>IFERROR(VLOOKUP("UD",'[1]Informacion '!P:Q,2,FALSE),"")</f>
        <v>Unidad</v>
      </c>
      <c r="D184" s="30">
        <v>1</v>
      </c>
      <c r="E184" s="33">
        <v>20000</v>
      </c>
      <c r="F184" s="34">
        <f ca="1">INDIRECT(ADDRESS(ROW(),COLUMN()-2,4))*INDIRECT(ADDRESS(ROW(),COLUMN()-1,4))</f>
        <v>20000</v>
      </c>
    </row>
    <row r="185" spans="1:6" ht="14.25" customHeight="1" x14ac:dyDescent="0.25">
      <c r="E185" s="35" t="s">
        <v>47</v>
      </c>
      <c r="F185" s="36">
        <f ca="1">SUM(Table17[MONTO TOTAL ESTIMADO])</f>
        <v>70000</v>
      </c>
    </row>
    <row r="187" spans="1:6" ht="33.950000000000003" customHeight="1" thickBot="1" x14ac:dyDescent="0.3">
      <c r="A187" s="21" t="s">
        <v>19</v>
      </c>
      <c r="B187" s="21" t="s">
        <v>20</v>
      </c>
      <c r="C187" s="21" t="s">
        <v>21</v>
      </c>
      <c r="D187" s="21" t="s">
        <v>22</v>
      </c>
      <c r="E187" s="21" t="s">
        <v>23</v>
      </c>
      <c r="F187" s="21" t="s">
        <v>24</v>
      </c>
    </row>
    <row r="188" spans="1:6" ht="14.25" customHeight="1" thickBot="1" x14ac:dyDescent="0.3">
      <c r="A188" s="23" t="s">
        <v>83</v>
      </c>
      <c r="B188" s="23" t="s">
        <v>83</v>
      </c>
      <c r="C188" s="23" t="s">
        <v>55</v>
      </c>
      <c r="D188" s="23" t="s">
        <v>27</v>
      </c>
      <c r="E188" s="23" t="s">
        <v>52</v>
      </c>
      <c r="F188" s="23"/>
    </row>
    <row r="189" spans="1:6" ht="14.25" customHeight="1" thickBot="1" x14ac:dyDescent="0.3">
      <c r="A189" s="39" t="s">
        <v>29</v>
      </c>
      <c r="B189" s="24" t="s">
        <v>30</v>
      </c>
      <c r="C189" s="25">
        <v>45691</v>
      </c>
      <c r="D189" s="39" t="s">
        <v>31</v>
      </c>
      <c r="E189" s="26" t="s">
        <v>32</v>
      </c>
      <c r="F189" s="27"/>
    </row>
    <row r="190" spans="1:6" ht="14.25" customHeight="1" thickBot="1" x14ac:dyDescent="0.3">
      <c r="A190" s="40"/>
      <c r="B190" s="24" t="s">
        <v>34</v>
      </c>
      <c r="C190" s="28">
        <f>IF(C189="","",IF(AND(MONTH(C189)&gt;=1,MONTH(C189)&lt;=3),1,IF(AND(MONTH(C189)&gt;=4,MONTH(C189)&lt;=6),2,IF(AND(MONTH(C189)&gt;=7,MONTH(C189)&lt;=9),3,4))))</f>
        <v>1</v>
      </c>
      <c r="D190" s="40"/>
      <c r="E190" s="26" t="s">
        <v>35</v>
      </c>
      <c r="F190" s="27"/>
    </row>
    <row r="191" spans="1:6" ht="14.25" customHeight="1" thickBot="1" x14ac:dyDescent="0.3">
      <c r="A191" s="40"/>
      <c r="B191" s="24" t="s">
        <v>37</v>
      </c>
      <c r="C191" s="25">
        <v>45693</v>
      </c>
      <c r="D191" s="40"/>
      <c r="E191" s="26" t="s">
        <v>38</v>
      </c>
      <c r="F191" s="27"/>
    </row>
    <row r="192" spans="1:6" ht="14.25" customHeight="1" thickBot="1" x14ac:dyDescent="0.3">
      <c r="A192" s="40"/>
      <c r="B192" s="24" t="s">
        <v>34</v>
      </c>
      <c r="C192" s="28">
        <f>IF(C191="","",IF(AND(MONTH(C191)&gt;=1,MONTH(C191)&lt;=3),1,IF(AND(MONTH(C191)&gt;=4,MONTH(C191)&lt;=6),2,IF(AND(MONTH(C191)&gt;=7,MONTH(C191)&lt;=9),3,4))))</f>
        <v>1</v>
      </c>
      <c r="D192" s="40"/>
      <c r="E192" s="26" t="s">
        <v>39</v>
      </c>
      <c r="F192" s="27"/>
    </row>
    <row r="194" spans="1:6" ht="14.25" customHeight="1" thickBot="1" x14ac:dyDescent="0.3">
      <c r="A194" s="29" t="s">
        <v>40</v>
      </c>
      <c r="B194" s="29" t="s">
        <v>41</v>
      </c>
      <c r="C194" s="29" t="s">
        <v>42</v>
      </c>
      <c r="D194" s="29" t="s">
        <v>43</v>
      </c>
      <c r="E194" s="29" t="s">
        <v>44</v>
      </c>
      <c r="F194" s="29" t="s">
        <v>45</v>
      </c>
    </row>
    <row r="195" spans="1:6" ht="14.25" customHeight="1" x14ac:dyDescent="0.25">
      <c r="A195" s="30" t="s">
        <v>84</v>
      </c>
      <c r="B195" s="31" t="str">
        <f ca="1">IFERROR(INDEX(UNSPSCDes,MATCH(INDIRECT(ADDRESS(ROW(),COLUMN()-1,4)),UNSPSCCode,0)),IF(INDIRECT(ADDRESS(ROW(),COLUMN()-1,4))="14111703","Toallas de papel",""))</f>
        <v>Toallas de papel</v>
      </c>
      <c r="C195" s="32" t="str">
        <f>IFERROR(VLOOKUP("UD",'[1]Informacion '!P:Q,2,FALSE),"")</f>
        <v>Unidad</v>
      </c>
      <c r="D195" s="30">
        <v>40</v>
      </c>
      <c r="E195" s="33">
        <v>750</v>
      </c>
      <c r="F195" s="34">
        <f t="shared" ref="F195:F201" ca="1" si="2">INDIRECT(ADDRESS(ROW(),COLUMN()-2,4))*INDIRECT(ADDRESS(ROW(),COLUMN()-1,4))</f>
        <v>30000</v>
      </c>
    </row>
    <row r="196" spans="1:6" ht="14.25" customHeight="1" x14ac:dyDescent="0.25">
      <c r="A196" s="30" t="s">
        <v>85</v>
      </c>
      <c r="B196" s="31" t="str">
        <f ca="1">IFERROR(INDEX(UNSPSCDes,MATCH(INDIRECT(ADDRESS(ROW(),COLUMN()-1,4)),UNSPSCCode,0)),IF(INDIRECT(ADDRESS(ROW(),COLUMN()-1,4))="47131816","Desodorantes",""))</f>
        <v>Desodorantes</v>
      </c>
      <c r="C196" s="32" t="str">
        <f>IFERROR(VLOOKUP("UD",'[1]Informacion '!P:Q,2,FALSE),"")</f>
        <v>Unidad</v>
      </c>
      <c r="D196" s="30">
        <v>100</v>
      </c>
      <c r="E196" s="33">
        <v>135</v>
      </c>
      <c r="F196" s="34">
        <f t="shared" ca="1" si="2"/>
        <v>13500</v>
      </c>
    </row>
    <row r="197" spans="1:6" ht="14.25" customHeight="1" x14ac:dyDescent="0.25">
      <c r="A197" s="30" t="s">
        <v>86</v>
      </c>
      <c r="B197" s="31" t="str">
        <f ca="1">IFERROR(INDEX(UNSPSCDes,MATCH(INDIRECT(ADDRESS(ROW(),COLUMN()-1,4)),UNSPSCCode,0)),IF(INDIRECT(ADDRESS(ROW(),COLUMN()-1,4))="47131803","Desinfectantes para uso doméstico",""))</f>
        <v>Desinfectantes para uso doméstico</v>
      </c>
      <c r="C197" s="32" t="str">
        <f>IFERROR(VLOOKUP("UD",'[1]Informacion '!P:Q,2,FALSE),"")</f>
        <v>Unidad</v>
      </c>
      <c r="D197" s="30">
        <v>60</v>
      </c>
      <c r="E197" s="33">
        <v>85</v>
      </c>
      <c r="F197" s="34">
        <f t="shared" ca="1" si="2"/>
        <v>5100</v>
      </c>
    </row>
    <row r="198" spans="1:6" ht="14.25" customHeight="1" x14ac:dyDescent="0.25">
      <c r="A198" s="30" t="s">
        <v>87</v>
      </c>
      <c r="B198" s="31" t="str">
        <f ca="1">IFERROR(INDEX(UNSPSCDes,MATCH(INDIRECT(ADDRESS(ROW(),COLUMN()-1,4)),UNSPSCCode,0)),IF(INDIRECT(ADDRESS(ROW(),COLUMN()-1,4))="46181504","Guantes de protección",""))</f>
        <v>Guantes de protección</v>
      </c>
      <c r="C198" s="32" t="str">
        <f>IFERROR(VLOOKUP("UD",'[1]Informacion '!P:Q,2,FALSE),"")</f>
        <v>Unidad</v>
      </c>
      <c r="D198" s="30">
        <v>50</v>
      </c>
      <c r="E198" s="33">
        <v>100</v>
      </c>
      <c r="F198" s="34">
        <f t="shared" ca="1" si="2"/>
        <v>5000</v>
      </c>
    </row>
    <row r="199" spans="1:6" ht="14.25" customHeight="1" x14ac:dyDescent="0.25">
      <c r="A199" s="30" t="s">
        <v>88</v>
      </c>
      <c r="B199" s="31" t="str">
        <f ca="1">IFERROR(INDEX(UNSPSCDes,MATCH(INDIRECT(ADDRESS(ROW(),COLUMN()-1,4)),UNSPSCCode,0)),IF(INDIRECT(ADDRESS(ROW(),COLUMN()-1,4))="14111705","Servilletas de papel",""))</f>
        <v>Servilletas de papel</v>
      </c>
      <c r="C199" s="32" t="str">
        <f>IFERROR(VLOOKUP("UD",'[1]Informacion '!P:Q,2,FALSE),"")</f>
        <v>Unidad</v>
      </c>
      <c r="D199" s="30">
        <v>60</v>
      </c>
      <c r="E199" s="33">
        <v>110</v>
      </c>
      <c r="F199" s="34">
        <f t="shared" ca="1" si="2"/>
        <v>6600</v>
      </c>
    </row>
    <row r="200" spans="1:6" ht="14.25" customHeight="1" x14ac:dyDescent="0.25">
      <c r="A200" s="30" t="s">
        <v>89</v>
      </c>
      <c r="B200" s="31" t="str">
        <f ca="1">IFERROR(INDEX(UNSPSCDes,MATCH(INDIRECT(ADDRESS(ROW(),COLUMN()-1,4)),UNSPSCCode,0)),IF(INDIRECT(ADDRESS(ROW(),COLUMN()-1,4))="47131602","Almohadillas para restregar",""))</f>
        <v>Almohadillas para restregar</v>
      </c>
      <c r="C200" s="32" t="str">
        <f>IFERROR(VLOOKUP("UD",'[1]Informacion '!P:Q,2,FALSE),"")</f>
        <v>Unidad</v>
      </c>
      <c r="D200" s="30">
        <v>100</v>
      </c>
      <c r="E200" s="33">
        <v>20</v>
      </c>
      <c r="F200" s="34">
        <f t="shared" ca="1" si="2"/>
        <v>2000</v>
      </c>
    </row>
    <row r="201" spans="1:6" ht="14.25" customHeight="1" x14ac:dyDescent="0.25">
      <c r="A201" s="30" t="s">
        <v>90</v>
      </c>
      <c r="B201" s="31" t="str">
        <f ca="1">IFERROR(INDEX(UNSPSCDes,MATCH(INDIRECT(ADDRESS(ROW(),COLUMN()-1,4)),UNSPSCCode,0)),IF(INDIRECT(ADDRESS(ROW(),COLUMN()-1,4))="47131821","Compuestos desengrasantes",""))</f>
        <v>Compuestos desengrasantes</v>
      </c>
      <c r="C201" s="32" t="str">
        <f>IFERROR(VLOOKUP("UD",'[1]Informacion '!P:Q,2,FALSE),"")</f>
        <v>Unidad</v>
      </c>
      <c r="D201" s="30">
        <v>60</v>
      </c>
      <c r="E201" s="33">
        <v>220</v>
      </c>
      <c r="F201" s="34">
        <f t="shared" ca="1" si="2"/>
        <v>13200</v>
      </c>
    </row>
    <row r="202" spans="1:6" ht="14.25" customHeight="1" x14ac:dyDescent="0.25">
      <c r="E202" s="35" t="s">
        <v>47</v>
      </c>
      <c r="F202" s="36">
        <f ca="1">SUM(Table18[MONTO TOTAL ESTIMADO])</f>
        <v>75400</v>
      </c>
    </row>
    <row r="204" spans="1:6" ht="33.950000000000003" customHeight="1" thickBot="1" x14ac:dyDescent="0.3">
      <c r="A204" s="21" t="s">
        <v>19</v>
      </c>
      <c r="B204" s="21" t="s">
        <v>20</v>
      </c>
      <c r="C204" s="21" t="s">
        <v>21</v>
      </c>
      <c r="D204" s="21" t="s">
        <v>22</v>
      </c>
      <c r="E204" s="21" t="s">
        <v>23</v>
      </c>
      <c r="F204" s="21" t="s">
        <v>24</v>
      </c>
    </row>
    <row r="205" spans="1:6" ht="14.25" customHeight="1" thickBot="1" x14ac:dyDescent="0.3">
      <c r="A205" s="23" t="s">
        <v>91</v>
      </c>
      <c r="B205" s="23" t="s">
        <v>91</v>
      </c>
      <c r="C205" s="23" t="s">
        <v>55</v>
      </c>
      <c r="D205" s="23" t="s">
        <v>27</v>
      </c>
      <c r="E205" s="23" t="s">
        <v>52</v>
      </c>
      <c r="F205" s="23"/>
    </row>
    <row r="206" spans="1:6" ht="14.25" customHeight="1" thickBot="1" x14ac:dyDescent="0.3">
      <c r="A206" s="39" t="s">
        <v>29</v>
      </c>
      <c r="B206" s="24" t="s">
        <v>30</v>
      </c>
      <c r="C206" s="25">
        <v>45698</v>
      </c>
      <c r="D206" s="39" t="s">
        <v>31</v>
      </c>
      <c r="E206" s="26" t="s">
        <v>32</v>
      </c>
      <c r="F206" s="27"/>
    </row>
    <row r="207" spans="1:6" ht="14.25" customHeight="1" thickBot="1" x14ac:dyDescent="0.3">
      <c r="A207" s="40"/>
      <c r="B207" s="24" t="s">
        <v>34</v>
      </c>
      <c r="C207" s="28">
        <f>IF(C206="","",IF(AND(MONTH(C206)&gt;=1,MONTH(C206)&lt;=3),1,IF(AND(MONTH(C206)&gt;=4,MONTH(C206)&lt;=6),2,IF(AND(MONTH(C206)&gt;=7,MONTH(C206)&lt;=9),3,4))))</f>
        <v>1</v>
      </c>
      <c r="D207" s="40"/>
      <c r="E207" s="26" t="s">
        <v>35</v>
      </c>
      <c r="F207" s="27"/>
    </row>
    <row r="208" spans="1:6" ht="14.25" customHeight="1" thickBot="1" x14ac:dyDescent="0.3">
      <c r="A208" s="40"/>
      <c r="B208" s="24" t="s">
        <v>37</v>
      </c>
      <c r="C208" s="25">
        <v>45700</v>
      </c>
      <c r="D208" s="40"/>
      <c r="E208" s="26" t="s">
        <v>38</v>
      </c>
      <c r="F208" s="27"/>
    </row>
    <row r="209" spans="1:6" ht="14.25" customHeight="1" thickBot="1" x14ac:dyDescent="0.3">
      <c r="A209" s="40"/>
      <c r="B209" s="24" t="s">
        <v>34</v>
      </c>
      <c r="C209" s="28">
        <f>IF(C208="","",IF(AND(MONTH(C208)&gt;=1,MONTH(C208)&lt;=3),1,IF(AND(MONTH(C208)&gt;=4,MONTH(C208)&lt;=6),2,IF(AND(MONTH(C208)&gt;=7,MONTH(C208)&lt;=9),3,4))))</f>
        <v>1</v>
      </c>
      <c r="D209" s="40"/>
      <c r="E209" s="26" t="s">
        <v>39</v>
      </c>
      <c r="F209" s="27"/>
    </row>
    <row r="211" spans="1:6" ht="14.25" customHeight="1" thickBot="1" x14ac:dyDescent="0.3">
      <c r="A211" s="29" t="s">
        <v>40</v>
      </c>
      <c r="B211" s="29" t="s">
        <v>41</v>
      </c>
      <c r="C211" s="29" t="s">
        <v>42</v>
      </c>
      <c r="D211" s="29" t="s">
        <v>43</v>
      </c>
      <c r="E211" s="29" t="s">
        <v>44</v>
      </c>
      <c r="F211" s="29" t="s">
        <v>45</v>
      </c>
    </row>
    <row r="212" spans="1:6" ht="14.25" customHeight="1" x14ac:dyDescent="0.25">
      <c r="A212" s="30" t="s">
        <v>92</v>
      </c>
      <c r="B212" s="31" t="str">
        <f ca="1">IFERROR(INDEX(UNSPSCDes,MATCH(INDIRECT(ADDRESS(ROW(),COLUMN()-1,4)),UNSPSCCode,0)),IF(INDIRECT(ADDRESS(ROW(),COLUMN()-1,4))="52151504","Tazas o vasos o tapas desechables para uso doméstico",""))</f>
        <v>Tazas o vasos o tapas desechables para uso doméstico</v>
      </c>
      <c r="C212" s="32" t="str">
        <f>IFERROR(VLOOKUP("UD",'[1]Informacion '!P:Q,2,FALSE),"")</f>
        <v>Unidad</v>
      </c>
      <c r="D212" s="30">
        <v>125</v>
      </c>
      <c r="E212" s="33">
        <v>150</v>
      </c>
      <c r="F212" s="34">
        <f ca="1">INDIRECT(ADDRESS(ROW(),COLUMN()-2,4))*INDIRECT(ADDRESS(ROW(),COLUMN()-1,4))</f>
        <v>18750</v>
      </c>
    </row>
    <row r="213" spans="1:6" ht="14.25" customHeight="1" x14ac:dyDescent="0.25">
      <c r="A213" s="30" t="s">
        <v>92</v>
      </c>
      <c r="B213" s="31" t="str">
        <f ca="1">IFERROR(INDEX(UNSPSCDes,MATCH(INDIRECT(ADDRESS(ROW(),COLUMN()-1,4)),UNSPSCCode,0)),IF(INDIRECT(ADDRESS(ROW(),COLUMN()-1,4))="52151504","Tazas o vasos o tapas desechables para uso doméstico",""))</f>
        <v>Tazas o vasos o tapas desechables para uso doméstico</v>
      </c>
      <c r="C213" s="32" t="str">
        <f>IFERROR(VLOOKUP("UD",'[1]Informacion '!P:Q,2,FALSE),"")</f>
        <v>Unidad</v>
      </c>
      <c r="D213" s="30">
        <v>125</v>
      </c>
      <c r="E213" s="33">
        <v>170</v>
      </c>
      <c r="F213" s="34">
        <f ca="1">INDIRECT(ADDRESS(ROW(),COLUMN()-2,4))*INDIRECT(ADDRESS(ROW(),COLUMN()-1,4))</f>
        <v>21250</v>
      </c>
    </row>
    <row r="214" spans="1:6" ht="14.25" customHeight="1" x14ac:dyDescent="0.25">
      <c r="E214" s="35" t="s">
        <v>47</v>
      </c>
      <c r="F214" s="36">
        <f ca="1">SUM(Table19[MONTO TOTAL ESTIMADO])</f>
        <v>40000</v>
      </c>
    </row>
    <row r="216" spans="1:6" ht="33.950000000000003" customHeight="1" thickBot="1" x14ac:dyDescent="0.3">
      <c r="A216" s="21" t="s">
        <v>19</v>
      </c>
      <c r="B216" s="21" t="s">
        <v>20</v>
      </c>
      <c r="C216" s="21" t="s">
        <v>21</v>
      </c>
      <c r="D216" s="21" t="s">
        <v>22</v>
      </c>
      <c r="E216" s="21" t="s">
        <v>23</v>
      </c>
      <c r="F216" s="21" t="s">
        <v>24</v>
      </c>
    </row>
    <row r="217" spans="1:6" ht="14.25" customHeight="1" thickBot="1" x14ac:dyDescent="0.3">
      <c r="A217" s="23" t="s">
        <v>93</v>
      </c>
      <c r="B217" s="23" t="s">
        <v>93</v>
      </c>
      <c r="C217" s="23" t="s">
        <v>55</v>
      </c>
      <c r="D217" s="23" t="s">
        <v>27</v>
      </c>
      <c r="E217" s="23" t="s">
        <v>52</v>
      </c>
      <c r="F217" s="23"/>
    </row>
    <row r="218" spans="1:6" ht="14.25" customHeight="1" thickBot="1" x14ac:dyDescent="0.3">
      <c r="A218" s="39" t="s">
        <v>29</v>
      </c>
      <c r="B218" s="24" t="s">
        <v>30</v>
      </c>
      <c r="C218" s="25">
        <v>45691</v>
      </c>
      <c r="D218" s="39" t="s">
        <v>31</v>
      </c>
      <c r="E218" s="26" t="s">
        <v>32</v>
      </c>
      <c r="F218" s="27"/>
    </row>
    <row r="219" spans="1:6" ht="14.25" customHeight="1" thickBot="1" x14ac:dyDescent="0.3">
      <c r="A219" s="40"/>
      <c r="B219" s="24" t="s">
        <v>34</v>
      </c>
      <c r="C219" s="28">
        <f>IF(C218="","",IF(AND(MONTH(C218)&gt;=1,MONTH(C218)&lt;=3),1,IF(AND(MONTH(C218)&gt;=4,MONTH(C218)&lt;=6),2,IF(AND(MONTH(C218)&gt;=7,MONTH(C218)&lt;=9),3,4))))</f>
        <v>1</v>
      </c>
      <c r="D219" s="40"/>
      <c r="E219" s="26" t="s">
        <v>35</v>
      </c>
      <c r="F219" s="27"/>
    </row>
    <row r="220" spans="1:6" ht="14.25" customHeight="1" thickBot="1" x14ac:dyDescent="0.3">
      <c r="A220" s="40"/>
      <c r="B220" s="24" t="s">
        <v>37</v>
      </c>
      <c r="C220" s="25">
        <v>45698</v>
      </c>
      <c r="D220" s="40"/>
      <c r="E220" s="26" t="s">
        <v>38</v>
      </c>
      <c r="F220" s="27"/>
    </row>
    <row r="221" spans="1:6" ht="14.25" customHeight="1" thickBot="1" x14ac:dyDescent="0.3">
      <c r="A221" s="40"/>
      <c r="B221" s="24" t="s">
        <v>34</v>
      </c>
      <c r="C221" s="28">
        <f>IF(C220="","",IF(AND(MONTH(C220)&gt;=1,MONTH(C220)&lt;=3),1,IF(AND(MONTH(C220)&gt;=4,MONTH(C220)&lt;=6),2,IF(AND(MONTH(C220)&gt;=7,MONTH(C220)&lt;=9),3,4))))</f>
        <v>1</v>
      </c>
      <c r="D221" s="40"/>
      <c r="E221" s="26" t="s">
        <v>39</v>
      </c>
      <c r="F221" s="27"/>
    </row>
    <row r="223" spans="1:6" ht="14.25" customHeight="1" thickBot="1" x14ac:dyDescent="0.3">
      <c r="A223" s="29" t="s">
        <v>40</v>
      </c>
      <c r="B223" s="29" t="s">
        <v>41</v>
      </c>
      <c r="C223" s="29" t="s">
        <v>42</v>
      </c>
      <c r="D223" s="29" t="s">
        <v>43</v>
      </c>
      <c r="E223" s="29" t="s">
        <v>44</v>
      </c>
      <c r="F223" s="29" t="s">
        <v>45</v>
      </c>
    </row>
    <row r="224" spans="1:6" ht="14.25" customHeight="1" x14ac:dyDescent="0.25">
      <c r="A224" s="30" t="s">
        <v>94</v>
      </c>
      <c r="B224" s="31" t="str">
        <f ca="1">IFERROR(INDEX(UNSPSCDes,MATCH(INDIRECT(ADDRESS(ROW(),COLUMN()-1,4)),UNSPSCCode,0)),IF(INDIRECT(ADDRESS(ROW(),COLUMN()-1,4))="31201512","Cinta transparente",""))</f>
        <v>Cinta transparente</v>
      </c>
      <c r="C224" s="32" t="str">
        <f>IFERROR(VLOOKUP("UD",'[1]Informacion '!P:Q,2,FALSE),"")</f>
        <v>Unidad</v>
      </c>
      <c r="D224" s="30">
        <v>60</v>
      </c>
      <c r="E224" s="33">
        <v>40</v>
      </c>
      <c r="F224" s="34">
        <f t="shared" ref="F224:F229" ca="1" si="3">INDIRECT(ADDRESS(ROW(),COLUMN()-2,4))*INDIRECT(ADDRESS(ROW(),COLUMN()-1,4))</f>
        <v>2400</v>
      </c>
    </row>
    <row r="225" spans="1:6" ht="14.25" customHeight="1" x14ac:dyDescent="0.25">
      <c r="A225" s="30" t="s">
        <v>95</v>
      </c>
      <c r="B225" s="31" t="str">
        <f ca="1">IFERROR(INDEX(UNSPSCDes,MATCH(INDIRECT(ADDRESS(ROW(),COLUMN()-1,4)),UNSPSCCode,0)),IF(INDIRECT(ADDRESS(ROW(),COLUMN()-1,4))="44121701","Bolígrafos",""))</f>
        <v>Bolígrafos</v>
      </c>
      <c r="C225" s="32" t="str">
        <f>IFERROR(VLOOKUP("DOC",'[1]Informacion '!P:Q,2,FALSE),"")</f>
        <v>Docena</v>
      </c>
      <c r="D225" s="30">
        <v>100</v>
      </c>
      <c r="E225" s="33">
        <v>60</v>
      </c>
      <c r="F225" s="34">
        <f t="shared" ca="1" si="3"/>
        <v>6000</v>
      </c>
    </row>
    <row r="226" spans="1:6" ht="14.25" customHeight="1" x14ac:dyDescent="0.25">
      <c r="A226" s="30" t="s">
        <v>96</v>
      </c>
      <c r="B226" s="31" t="str">
        <f ca="1">IFERROR(INDEX(UNSPSCDes,MATCH(INDIRECT(ADDRESS(ROW(),COLUMN()-1,4)),UNSPSCCode,0)),IF(INDIRECT(ADDRESS(ROW(),COLUMN()-1,4))="14111526","Papel libretas o libros de mensajes telefónicos",""))</f>
        <v>Papel libretas o libros de mensajes telefónicos</v>
      </c>
      <c r="C226" s="32" t="str">
        <f>IFERROR(VLOOKUP("UD",'[1]Informacion '!P:Q,2,FALSE),"")</f>
        <v>Unidad</v>
      </c>
      <c r="D226" s="30">
        <v>40</v>
      </c>
      <c r="E226" s="33">
        <v>25</v>
      </c>
      <c r="F226" s="34">
        <f t="shared" ca="1" si="3"/>
        <v>1000</v>
      </c>
    </row>
    <row r="227" spans="1:6" ht="14.25" customHeight="1" x14ac:dyDescent="0.25">
      <c r="A227" s="30" t="s">
        <v>97</v>
      </c>
      <c r="B227" s="31" t="str">
        <f ca="1">IFERROR(INDEX(UNSPSCDes,MATCH(INDIRECT(ADDRESS(ROW(),COLUMN()-1,4)),UNSPSCCode,0)),IF(INDIRECT(ADDRESS(ROW(),COLUMN()-1,4))="14111530","Papel de notas autoadhesivas",""))</f>
        <v>Papel de notas autoadhesivas</v>
      </c>
      <c r="C227" s="32" t="str">
        <f>IFERROR(VLOOKUP("UD",'[1]Informacion '!P:Q,2,FALSE),"")</f>
        <v>Unidad</v>
      </c>
      <c r="D227" s="30">
        <v>60</v>
      </c>
      <c r="E227" s="33">
        <v>25</v>
      </c>
      <c r="F227" s="34">
        <f t="shared" ca="1" si="3"/>
        <v>1500</v>
      </c>
    </row>
    <row r="228" spans="1:6" ht="14.25" customHeight="1" x14ac:dyDescent="0.25">
      <c r="A228" s="30" t="s">
        <v>97</v>
      </c>
      <c r="B228" s="31" t="str">
        <f ca="1">IFERROR(INDEX(UNSPSCDes,MATCH(INDIRECT(ADDRESS(ROW(),COLUMN()-1,4)),UNSPSCCode,0)),IF(INDIRECT(ADDRESS(ROW(),COLUMN()-1,4))="14111530","Papel de notas autoadhesivas",""))</f>
        <v>Papel de notas autoadhesivas</v>
      </c>
      <c r="C228" s="32" t="str">
        <f>IFERROR(VLOOKUP("UD",'[1]Informacion '!P:Q,2,FALSE),"")</f>
        <v>Unidad</v>
      </c>
      <c r="D228" s="30">
        <v>80</v>
      </c>
      <c r="E228" s="33">
        <v>30</v>
      </c>
      <c r="F228" s="34">
        <f t="shared" ca="1" si="3"/>
        <v>2400</v>
      </c>
    </row>
    <row r="229" spans="1:6" ht="14.25" customHeight="1" x14ac:dyDescent="0.25">
      <c r="A229" s="30" t="s">
        <v>98</v>
      </c>
      <c r="B229" s="31" t="str">
        <f ca="1">IFERROR(INDEX(UNSPSCDes,MATCH(INDIRECT(ADDRESS(ROW(),COLUMN()-1,4)),UNSPSCCode,0)),IF(INDIRECT(ADDRESS(ROW(),COLUMN()-1,4))="44122011","Folders",""))</f>
        <v>Folders</v>
      </c>
      <c r="C229" s="32" t="str">
        <f>IFERROR(VLOOKUP("UD",'[1]Informacion '!P:Q,2,FALSE),"")</f>
        <v>Unidad</v>
      </c>
      <c r="D229" s="30">
        <v>20</v>
      </c>
      <c r="E229" s="33">
        <v>330</v>
      </c>
      <c r="F229" s="34">
        <f t="shared" ca="1" si="3"/>
        <v>6600</v>
      </c>
    </row>
    <row r="230" spans="1:6" ht="14.25" customHeight="1" x14ac:dyDescent="0.25">
      <c r="E230" s="35" t="s">
        <v>47</v>
      </c>
      <c r="F230" s="36">
        <f ca="1">SUM(Table20[MONTO TOTAL ESTIMADO])</f>
        <v>19900</v>
      </c>
    </row>
    <row r="232" spans="1:6" ht="33.950000000000003" customHeight="1" thickBot="1" x14ac:dyDescent="0.3">
      <c r="A232" s="21" t="s">
        <v>19</v>
      </c>
      <c r="B232" s="21" t="s">
        <v>20</v>
      </c>
      <c r="C232" s="21" t="s">
        <v>21</v>
      </c>
      <c r="D232" s="21" t="s">
        <v>22</v>
      </c>
      <c r="E232" s="21" t="s">
        <v>23</v>
      </c>
      <c r="F232" s="21" t="s">
        <v>24</v>
      </c>
    </row>
    <row r="233" spans="1:6" ht="14.25" customHeight="1" thickBot="1" x14ac:dyDescent="0.3">
      <c r="A233" s="23" t="s">
        <v>99</v>
      </c>
      <c r="B233" s="23" t="s">
        <v>99</v>
      </c>
      <c r="C233" s="23" t="s">
        <v>55</v>
      </c>
      <c r="D233" s="23" t="s">
        <v>27</v>
      </c>
      <c r="E233" s="23" t="s">
        <v>52</v>
      </c>
      <c r="F233" s="23"/>
    </row>
    <row r="234" spans="1:6" ht="14.25" customHeight="1" thickBot="1" x14ac:dyDescent="0.3">
      <c r="A234" s="39" t="s">
        <v>29</v>
      </c>
      <c r="B234" s="24" t="s">
        <v>30</v>
      </c>
      <c r="C234" s="25">
        <v>45698</v>
      </c>
      <c r="D234" s="39" t="s">
        <v>31</v>
      </c>
      <c r="E234" s="26" t="s">
        <v>32</v>
      </c>
      <c r="F234" s="27"/>
    </row>
    <row r="235" spans="1:6" ht="14.25" customHeight="1" thickBot="1" x14ac:dyDescent="0.3">
      <c r="A235" s="40"/>
      <c r="B235" s="24" t="s">
        <v>34</v>
      </c>
      <c r="C235" s="28">
        <f>IF(C234="","",IF(AND(MONTH(C234)&gt;=1,MONTH(C234)&lt;=3),1,IF(AND(MONTH(C234)&gt;=4,MONTH(C234)&lt;=6),2,IF(AND(MONTH(C234)&gt;=7,MONTH(C234)&lt;=9),3,4))))</f>
        <v>1</v>
      </c>
      <c r="D235" s="40"/>
      <c r="E235" s="26" t="s">
        <v>35</v>
      </c>
      <c r="F235" s="27"/>
    </row>
    <row r="236" spans="1:6" ht="14.25" customHeight="1" thickBot="1" x14ac:dyDescent="0.3">
      <c r="A236" s="40"/>
      <c r="B236" s="24" t="s">
        <v>37</v>
      </c>
      <c r="C236" s="25">
        <v>45700</v>
      </c>
      <c r="D236" s="40"/>
      <c r="E236" s="26" t="s">
        <v>38</v>
      </c>
      <c r="F236" s="27"/>
    </row>
    <row r="237" spans="1:6" ht="14.25" customHeight="1" thickBot="1" x14ac:dyDescent="0.3">
      <c r="A237" s="40"/>
      <c r="B237" s="24" t="s">
        <v>34</v>
      </c>
      <c r="C237" s="28">
        <f>IF(C236="","",IF(AND(MONTH(C236)&gt;=1,MONTH(C236)&lt;=3),1,IF(AND(MONTH(C236)&gt;=4,MONTH(C236)&lt;=6),2,IF(AND(MONTH(C236)&gt;=7,MONTH(C236)&lt;=9),3,4))))</f>
        <v>1</v>
      </c>
      <c r="D237" s="40"/>
      <c r="E237" s="26" t="s">
        <v>39</v>
      </c>
      <c r="F237" s="27"/>
    </row>
    <row r="239" spans="1:6" ht="14.25" customHeight="1" thickBot="1" x14ac:dyDescent="0.3">
      <c r="A239" s="29" t="s">
        <v>40</v>
      </c>
      <c r="B239" s="29" t="s">
        <v>41</v>
      </c>
      <c r="C239" s="29" t="s">
        <v>42</v>
      </c>
      <c r="D239" s="29" t="s">
        <v>43</v>
      </c>
      <c r="E239" s="29" t="s">
        <v>44</v>
      </c>
      <c r="F239" s="29" t="s">
        <v>45</v>
      </c>
    </row>
    <row r="240" spans="1:6" ht="14.25" customHeight="1" x14ac:dyDescent="0.25">
      <c r="A240" s="30" t="s">
        <v>100</v>
      </c>
      <c r="B240" s="31" t="str">
        <f ca="1">IFERROR(INDEX(UNSPSCDes,MATCH(INDIRECT(ADDRESS(ROW(),COLUMN()-1,4)),UNSPSCCode,0)),IF(INDIRECT(ADDRESS(ROW(),COLUMN()-1,4))="50201711","Té instantáneo",""))</f>
        <v>Té instantáneo</v>
      </c>
      <c r="C240" s="32" t="str">
        <f>IFERROR(VLOOKUP("UD",'[1]Informacion '!P:Q,2,FALSE),"")</f>
        <v>Unidad</v>
      </c>
      <c r="D240" s="30">
        <v>25</v>
      </c>
      <c r="E240" s="33">
        <v>200</v>
      </c>
      <c r="F240" s="34">
        <f ca="1">INDIRECT(ADDRESS(ROW(),COLUMN()-2,4))*INDIRECT(ADDRESS(ROW(),COLUMN()-1,4))</f>
        <v>5000</v>
      </c>
    </row>
    <row r="241" spans="1:6" ht="14.25" customHeight="1" x14ac:dyDescent="0.25">
      <c r="A241" s="30" t="s">
        <v>100</v>
      </c>
      <c r="B241" s="31" t="str">
        <f ca="1">IFERROR(INDEX(UNSPSCDes,MATCH(INDIRECT(ADDRESS(ROW(),COLUMN()-1,4)),UNSPSCCode,0)),IF(INDIRECT(ADDRESS(ROW(),COLUMN()-1,4))="50201711","Té instantáneo",""))</f>
        <v>Té instantáneo</v>
      </c>
      <c r="C241" s="32" t="str">
        <f>IFERROR(VLOOKUP("UD",'[1]Informacion '!P:Q,2,FALSE),"")</f>
        <v>Unidad</v>
      </c>
      <c r="D241" s="30">
        <v>25</v>
      </c>
      <c r="E241" s="33">
        <v>200</v>
      </c>
      <c r="F241" s="34">
        <f ca="1">INDIRECT(ADDRESS(ROW(),COLUMN()-2,4))*INDIRECT(ADDRESS(ROW(),COLUMN()-1,4))</f>
        <v>5000</v>
      </c>
    </row>
    <row r="242" spans="1:6" ht="14.25" customHeight="1" x14ac:dyDescent="0.25">
      <c r="A242" s="30" t="s">
        <v>100</v>
      </c>
      <c r="B242" s="31" t="str">
        <f ca="1">IFERROR(INDEX(UNSPSCDes,MATCH(INDIRECT(ADDRESS(ROW(),COLUMN()-1,4)),UNSPSCCode,0)),IF(INDIRECT(ADDRESS(ROW(),COLUMN()-1,4))="50201711","Té instantáneo",""))</f>
        <v>Té instantáneo</v>
      </c>
      <c r="C242" s="32" t="str">
        <f>IFERROR(VLOOKUP("UD",'[1]Informacion '!P:Q,2,FALSE),"")</f>
        <v>Unidad</v>
      </c>
      <c r="D242" s="30">
        <v>20</v>
      </c>
      <c r="E242" s="33">
        <v>250</v>
      </c>
      <c r="F242" s="34">
        <f ca="1">INDIRECT(ADDRESS(ROW(),COLUMN()-2,4))*INDIRECT(ADDRESS(ROW(),COLUMN()-1,4))</f>
        <v>5000</v>
      </c>
    </row>
    <row r="243" spans="1:6" ht="14.25" customHeight="1" x14ac:dyDescent="0.25">
      <c r="A243" s="30" t="s">
        <v>101</v>
      </c>
      <c r="B243" s="31" t="str">
        <f ca="1">IFERROR(INDEX(UNSPSCDes,MATCH(INDIRECT(ADDRESS(ROW(),COLUMN()-1,4)),UNSPSCCode,0)),IF(INDIRECT(ADDRESS(ROW(),COLUMN()-1,4))="50201714","Cremas no lácteas",""))</f>
        <v>Cremas no lácteas</v>
      </c>
      <c r="C243" s="32" t="str">
        <f>IFERROR(VLOOKUP("UD",'[1]Informacion '!P:Q,2,FALSE),"")</f>
        <v>Unidad</v>
      </c>
      <c r="D243" s="30">
        <v>30</v>
      </c>
      <c r="E243" s="33">
        <v>250</v>
      </c>
      <c r="F243" s="34">
        <f ca="1">INDIRECT(ADDRESS(ROW(),COLUMN()-2,4))*INDIRECT(ADDRESS(ROW(),COLUMN()-1,4))</f>
        <v>7500</v>
      </c>
    </row>
    <row r="244" spans="1:6" ht="14.25" customHeight="1" x14ac:dyDescent="0.25">
      <c r="A244" s="30" t="s">
        <v>102</v>
      </c>
      <c r="B244" s="31" t="str">
        <f ca="1">IFERROR(INDEX(UNSPSCDes,MATCH(INDIRECT(ADDRESS(ROW(),COLUMN()-1,4)),UNSPSCCode,0)),IF(INDIRECT(ADDRESS(ROW(),COLUMN()-1,4))="50161510","Endulzantes artificiales",""))</f>
        <v>Endulzantes artificiales</v>
      </c>
      <c r="C244" s="32" t="str">
        <f>IFERROR(VLOOKUP("UD",'[1]Informacion '!P:Q,2,FALSE),"")</f>
        <v>Unidad</v>
      </c>
      <c r="D244" s="30">
        <v>10</v>
      </c>
      <c r="E244" s="33">
        <v>500</v>
      </c>
      <c r="F244" s="34">
        <f ca="1">INDIRECT(ADDRESS(ROW(),COLUMN()-2,4))*INDIRECT(ADDRESS(ROW(),COLUMN()-1,4))</f>
        <v>5000</v>
      </c>
    </row>
    <row r="245" spans="1:6" ht="14.25" customHeight="1" x14ac:dyDescent="0.25">
      <c r="E245" s="35" t="s">
        <v>47</v>
      </c>
      <c r="F245" s="36">
        <f ca="1">SUM(Table21[MONTO TOTAL ESTIMADO])</f>
        <v>27500</v>
      </c>
    </row>
    <row r="247" spans="1:6" ht="33.950000000000003" customHeight="1" thickBot="1" x14ac:dyDescent="0.3">
      <c r="A247" s="21" t="s">
        <v>19</v>
      </c>
      <c r="B247" s="21" t="s">
        <v>20</v>
      </c>
      <c r="C247" s="21" t="s">
        <v>21</v>
      </c>
      <c r="D247" s="21" t="s">
        <v>22</v>
      </c>
      <c r="E247" s="21" t="s">
        <v>23</v>
      </c>
      <c r="F247" s="21" t="s">
        <v>24</v>
      </c>
    </row>
    <row r="248" spans="1:6" ht="14.25" customHeight="1" thickBot="1" x14ac:dyDescent="0.3">
      <c r="A248" s="23" t="s">
        <v>103</v>
      </c>
      <c r="B248" s="23" t="s">
        <v>103</v>
      </c>
      <c r="C248" s="23" t="s">
        <v>55</v>
      </c>
      <c r="D248" s="23" t="s">
        <v>27</v>
      </c>
      <c r="E248" s="23" t="s">
        <v>52</v>
      </c>
      <c r="F248" s="23"/>
    </row>
    <row r="249" spans="1:6" ht="14.25" customHeight="1" thickBot="1" x14ac:dyDescent="0.3">
      <c r="A249" s="39" t="s">
        <v>29</v>
      </c>
      <c r="B249" s="24" t="s">
        <v>30</v>
      </c>
      <c r="C249" s="25">
        <v>45698</v>
      </c>
      <c r="D249" s="39" t="s">
        <v>31</v>
      </c>
      <c r="E249" s="26" t="s">
        <v>32</v>
      </c>
      <c r="F249" s="27"/>
    </row>
    <row r="250" spans="1:6" ht="14.25" customHeight="1" thickBot="1" x14ac:dyDescent="0.3">
      <c r="A250" s="40"/>
      <c r="B250" s="24" t="s">
        <v>34</v>
      </c>
      <c r="C250" s="28">
        <f>IF(C249="","",IF(AND(MONTH(C249)&gt;=1,MONTH(C249)&lt;=3),1,IF(AND(MONTH(C249)&gt;=4,MONTH(C249)&lt;=6),2,IF(AND(MONTH(C249)&gt;=7,MONTH(C249)&lt;=9),3,4))))</f>
        <v>1</v>
      </c>
      <c r="D250" s="40"/>
      <c r="E250" s="26" t="s">
        <v>35</v>
      </c>
      <c r="F250" s="27"/>
    </row>
    <row r="251" spans="1:6" ht="14.25" customHeight="1" thickBot="1" x14ac:dyDescent="0.3">
      <c r="A251" s="40"/>
      <c r="B251" s="24" t="s">
        <v>37</v>
      </c>
      <c r="C251" s="25">
        <v>45700</v>
      </c>
      <c r="D251" s="40"/>
      <c r="E251" s="26" t="s">
        <v>38</v>
      </c>
      <c r="F251" s="27"/>
    </row>
    <row r="252" spans="1:6" ht="14.25" customHeight="1" thickBot="1" x14ac:dyDescent="0.3">
      <c r="A252" s="40"/>
      <c r="B252" s="24" t="s">
        <v>34</v>
      </c>
      <c r="C252" s="28">
        <f>IF(C251="","",IF(AND(MONTH(C251)&gt;=1,MONTH(C251)&lt;=3),1,IF(AND(MONTH(C251)&gt;=4,MONTH(C251)&lt;=6),2,IF(AND(MONTH(C251)&gt;=7,MONTH(C251)&lt;=9),3,4))))</f>
        <v>1</v>
      </c>
      <c r="D252" s="40"/>
      <c r="E252" s="26" t="s">
        <v>39</v>
      </c>
      <c r="F252" s="27"/>
    </row>
    <row r="254" spans="1:6" ht="14.25" customHeight="1" thickBot="1" x14ac:dyDescent="0.3">
      <c r="A254" s="29" t="s">
        <v>40</v>
      </c>
      <c r="B254" s="29" t="s">
        <v>41</v>
      </c>
      <c r="C254" s="29" t="s">
        <v>42</v>
      </c>
      <c r="D254" s="29" t="s">
        <v>43</v>
      </c>
      <c r="E254" s="29" t="s">
        <v>44</v>
      </c>
      <c r="F254" s="29" t="s">
        <v>45</v>
      </c>
    </row>
    <row r="255" spans="1:6" ht="14.25" customHeight="1" x14ac:dyDescent="0.25">
      <c r="A255" s="30" t="s">
        <v>104</v>
      </c>
      <c r="B255" s="31" t="str">
        <f ca="1">IFERROR(INDEX(UNSPSCDes,MATCH(INDIRECT(ADDRESS(ROW(),COLUMN()-1,4)),UNSPSCCode,0)),IF(INDIRECT(ADDRESS(ROW(),COLUMN()-1,4))="39121549","Termostato",""))</f>
        <v>Termostato</v>
      </c>
      <c r="C255" s="32" t="str">
        <f>IFERROR(VLOOKUP("UD",'[1]Informacion '!P:Q,2,FALSE),"")</f>
        <v>Unidad</v>
      </c>
      <c r="D255" s="30">
        <v>10</v>
      </c>
      <c r="E255" s="33">
        <v>2500</v>
      </c>
      <c r="F255" s="34">
        <f ca="1">INDIRECT(ADDRESS(ROW(),COLUMN()-2,4))*INDIRECT(ADDRESS(ROW(),COLUMN()-1,4))</f>
        <v>25000</v>
      </c>
    </row>
    <row r="256" spans="1:6" ht="14.25" customHeight="1" x14ac:dyDescent="0.25">
      <c r="E256" s="35" t="s">
        <v>47</v>
      </c>
      <c r="F256" s="36">
        <f ca="1">SUM(Table22[MONTO TOTAL ESTIMADO])</f>
        <v>25000</v>
      </c>
    </row>
    <row r="258" spans="1:6" ht="33.950000000000003" customHeight="1" thickBot="1" x14ac:dyDescent="0.3">
      <c r="A258" s="21" t="s">
        <v>19</v>
      </c>
      <c r="B258" s="21" t="s">
        <v>20</v>
      </c>
      <c r="C258" s="21" t="s">
        <v>21</v>
      </c>
      <c r="D258" s="21" t="s">
        <v>22</v>
      </c>
      <c r="E258" s="21" t="s">
        <v>23</v>
      </c>
      <c r="F258" s="21" t="s">
        <v>24</v>
      </c>
    </row>
    <row r="259" spans="1:6" ht="14.25" customHeight="1" thickBot="1" x14ac:dyDescent="0.3">
      <c r="A259" s="23" t="s">
        <v>105</v>
      </c>
      <c r="B259" s="23" t="s">
        <v>105</v>
      </c>
      <c r="C259" s="23" t="s">
        <v>26</v>
      </c>
      <c r="D259" s="23" t="s">
        <v>27</v>
      </c>
      <c r="E259" s="23" t="s">
        <v>52</v>
      </c>
      <c r="F259" s="23"/>
    </row>
    <row r="260" spans="1:6" ht="14.25" customHeight="1" thickBot="1" x14ac:dyDescent="0.3">
      <c r="A260" s="39" t="s">
        <v>29</v>
      </c>
      <c r="B260" s="24" t="s">
        <v>30</v>
      </c>
      <c r="C260" s="25">
        <v>45699</v>
      </c>
      <c r="D260" s="39" t="s">
        <v>31</v>
      </c>
      <c r="E260" s="26" t="s">
        <v>32</v>
      </c>
      <c r="F260" s="27" t="s">
        <v>33</v>
      </c>
    </row>
    <row r="261" spans="1:6" ht="14.25" customHeight="1" thickBot="1" x14ac:dyDescent="0.3">
      <c r="A261" s="40"/>
      <c r="B261" s="24" t="s">
        <v>34</v>
      </c>
      <c r="C261" s="28">
        <f>IF(C260="","",IF(AND(MONTH(C260)&gt;=1,MONTH(C260)&lt;=3),1,IF(AND(MONTH(C260)&gt;=4,MONTH(C260)&lt;=6),2,IF(AND(MONTH(C260)&gt;=7,MONTH(C260)&lt;=9),3,4))))</f>
        <v>1</v>
      </c>
      <c r="D261" s="40"/>
      <c r="E261" s="26" t="s">
        <v>35</v>
      </c>
      <c r="F261" s="27" t="s">
        <v>36</v>
      </c>
    </row>
    <row r="262" spans="1:6" ht="14.25" customHeight="1" thickBot="1" x14ac:dyDescent="0.3">
      <c r="A262" s="40"/>
      <c r="B262" s="24" t="s">
        <v>37</v>
      </c>
      <c r="C262" s="25">
        <v>45705</v>
      </c>
      <c r="D262" s="40"/>
      <c r="E262" s="26" t="s">
        <v>38</v>
      </c>
      <c r="F262" s="27" t="s">
        <v>36</v>
      </c>
    </row>
    <row r="263" spans="1:6" ht="14.25" customHeight="1" thickBot="1" x14ac:dyDescent="0.3">
      <c r="A263" s="40"/>
      <c r="B263" s="24" t="s">
        <v>34</v>
      </c>
      <c r="C263" s="28">
        <f>IF(C262="","",IF(AND(MONTH(C262)&gt;=1,MONTH(C262)&lt;=3),1,IF(AND(MONTH(C262)&gt;=4,MONTH(C262)&lt;=6),2,IF(AND(MONTH(C262)&gt;=7,MONTH(C262)&lt;=9),3,4))))</f>
        <v>1</v>
      </c>
      <c r="D263" s="40"/>
      <c r="E263" s="26" t="s">
        <v>39</v>
      </c>
      <c r="F263" s="27"/>
    </row>
    <row r="265" spans="1:6" ht="14.25" customHeight="1" thickBot="1" x14ac:dyDescent="0.3">
      <c r="A265" s="29" t="s">
        <v>40</v>
      </c>
      <c r="B265" s="29" t="s">
        <v>41</v>
      </c>
      <c r="C265" s="29" t="s">
        <v>42</v>
      </c>
      <c r="D265" s="29" t="s">
        <v>43</v>
      </c>
      <c r="E265" s="29" t="s">
        <v>44</v>
      </c>
      <c r="F265" s="29" t="s">
        <v>45</v>
      </c>
    </row>
    <row r="266" spans="1:6" ht="14.25" customHeight="1" x14ac:dyDescent="0.25">
      <c r="A266" s="30" t="s">
        <v>106</v>
      </c>
      <c r="B266" s="31" t="str">
        <f ca="1">IFERROR(INDEX(UNSPSCDes,MATCH(INDIRECT(ADDRESS(ROW(),COLUMN()-1,4)),UNSPSCCode,0)),IF(INDIRECT(ADDRESS(ROW(),COLUMN()-1,4))="43232801","Software de monitoreo de red",""))</f>
        <v>Software de monitoreo de red</v>
      </c>
      <c r="C266" s="32" t="str">
        <f>IFERROR(VLOOKUP("UD",'[1]Informacion '!P:Q,2,FALSE),"")</f>
        <v>Unidad</v>
      </c>
      <c r="D266" s="30">
        <v>1</v>
      </c>
      <c r="E266" s="33">
        <v>40000</v>
      </c>
      <c r="F266" s="34">
        <f ca="1">INDIRECT(ADDRESS(ROW(),COLUMN()-2,4))*INDIRECT(ADDRESS(ROW(),COLUMN()-1,4))</f>
        <v>40000</v>
      </c>
    </row>
    <row r="267" spans="1:6" ht="14.25" customHeight="1" x14ac:dyDescent="0.25">
      <c r="E267" s="35" t="s">
        <v>47</v>
      </c>
      <c r="F267" s="36">
        <f ca="1">SUM(Table23[MONTO TOTAL ESTIMADO])</f>
        <v>40000</v>
      </c>
    </row>
    <row r="269" spans="1:6" ht="33.950000000000003" customHeight="1" thickBot="1" x14ac:dyDescent="0.3">
      <c r="A269" s="21" t="s">
        <v>19</v>
      </c>
      <c r="B269" s="21" t="s">
        <v>20</v>
      </c>
      <c r="C269" s="21" t="s">
        <v>21</v>
      </c>
      <c r="D269" s="21" t="s">
        <v>22</v>
      </c>
      <c r="E269" s="21" t="s">
        <v>23</v>
      </c>
      <c r="F269" s="21" t="s">
        <v>24</v>
      </c>
    </row>
    <row r="270" spans="1:6" ht="14.25" customHeight="1" thickBot="1" x14ac:dyDescent="0.3">
      <c r="A270" s="23" t="s">
        <v>107</v>
      </c>
      <c r="B270" s="23" t="s">
        <v>107</v>
      </c>
      <c r="C270" s="23" t="s">
        <v>55</v>
      </c>
      <c r="D270" s="23" t="s">
        <v>27</v>
      </c>
      <c r="E270" s="23" t="s">
        <v>52</v>
      </c>
      <c r="F270" s="23"/>
    </row>
    <row r="271" spans="1:6" ht="14.25" customHeight="1" thickBot="1" x14ac:dyDescent="0.3">
      <c r="A271" s="39" t="s">
        <v>29</v>
      </c>
      <c r="B271" s="24" t="s">
        <v>30</v>
      </c>
      <c r="C271" s="25">
        <v>45845</v>
      </c>
      <c r="D271" s="39" t="s">
        <v>31</v>
      </c>
      <c r="E271" s="26" t="s">
        <v>32</v>
      </c>
      <c r="F271" s="27" t="s">
        <v>33</v>
      </c>
    </row>
    <row r="272" spans="1:6" ht="14.25" customHeight="1" thickBot="1" x14ac:dyDescent="0.3">
      <c r="A272" s="40"/>
      <c r="B272" s="24" t="s">
        <v>34</v>
      </c>
      <c r="C272" s="28">
        <f>IF(C271="","",IF(AND(MONTH(C271)&gt;=1,MONTH(C271)&lt;=3),1,IF(AND(MONTH(C271)&gt;=4,MONTH(C271)&lt;=6),2,IF(AND(MONTH(C271)&gt;=7,MONTH(C271)&lt;=9),3,4))))</f>
        <v>3</v>
      </c>
      <c r="D272" s="40"/>
      <c r="E272" s="26" t="s">
        <v>35</v>
      </c>
      <c r="F272" s="27" t="s">
        <v>36</v>
      </c>
    </row>
    <row r="273" spans="1:6" ht="14.25" customHeight="1" thickBot="1" x14ac:dyDescent="0.3">
      <c r="A273" s="40"/>
      <c r="B273" s="24" t="s">
        <v>37</v>
      </c>
      <c r="C273" s="25">
        <v>45852</v>
      </c>
      <c r="D273" s="40"/>
      <c r="E273" s="26" t="s">
        <v>38</v>
      </c>
      <c r="F273" s="27" t="s">
        <v>36</v>
      </c>
    </row>
    <row r="274" spans="1:6" ht="14.25" customHeight="1" thickBot="1" x14ac:dyDescent="0.3">
      <c r="A274" s="40"/>
      <c r="B274" s="24" t="s">
        <v>34</v>
      </c>
      <c r="C274" s="28">
        <f>IF(C273="","",IF(AND(MONTH(C273)&gt;=1,MONTH(C273)&lt;=3),1,IF(AND(MONTH(C273)&gt;=4,MONTH(C273)&lt;=6),2,IF(AND(MONTH(C273)&gt;=7,MONTH(C273)&lt;=9),3,4))))</f>
        <v>3</v>
      </c>
      <c r="D274" s="40"/>
      <c r="E274" s="26" t="s">
        <v>39</v>
      </c>
      <c r="F274" s="27"/>
    </row>
    <row r="276" spans="1:6" ht="14.25" customHeight="1" thickBot="1" x14ac:dyDescent="0.3">
      <c r="A276" s="29" t="s">
        <v>40</v>
      </c>
      <c r="B276" s="29" t="s">
        <v>41</v>
      </c>
      <c r="C276" s="29" t="s">
        <v>42</v>
      </c>
      <c r="D276" s="29" t="s">
        <v>43</v>
      </c>
      <c r="E276" s="29" t="s">
        <v>44</v>
      </c>
      <c r="F276" s="29" t="s">
        <v>45</v>
      </c>
    </row>
    <row r="277" spans="1:6" ht="14.25" customHeight="1" x14ac:dyDescent="0.25">
      <c r="A277" s="30" t="s">
        <v>65</v>
      </c>
      <c r="B277" s="31" t="str">
        <f ca="1">IFERROR(INDEX(UNSPSCDes,MATCH(INDIRECT(ADDRESS(ROW(),COLUMN()-1,4)),UNSPSCCode,0)),IF(INDIRECT(ADDRESS(ROW(),COLUMN()-1,4))="44111510","Organizadores o accesorios de colgar",""))</f>
        <v>Organizadores o accesorios de colgar</v>
      </c>
      <c r="C277" s="32" t="str">
        <f>IFERROR(VLOOKUP("UD",'[1]Informacion '!P:Q,2,FALSE),"")</f>
        <v>Unidad</v>
      </c>
      <c r="D277" s="30">
        <v>100</v>
      </c>
      <c r="E277" s="33">
        <v>1000</v>
      </c>
      <c r="F277" s="34">
        <f ca="1">INDIRECT(ADDRESS(ROW(),COLUMN()-2,4))*INDIRECT(ADDRESS(ROW(),COLUMN()-1,4))</f>
        <v>100000</v>
      </c>
    </row>
    <row r="278" spans="1:6" ht="14.25" customHeight="1" x14ac:dyDescent="0.25">
      <c r="E278" s="35" t="s">
        <v>47</v>
      </c>
      <c r="F278" s="36">
        <f ca="1">SUM(Table24[MONTO TOTAL ESTIMADO])</f>
        <v>100000</v>
      </c>
    </row>
    <row r="280" spans="1:6" ht="33.950000000000003" customHeight="1" thickBot="1" x14ac:dyDescent="0.3">
      <c r="A280" s="21" t="s">
        <v>19</v>
      </c>
      <c r="B280" s="21" t="s">
        <v>20</v>
      </c>
      <c r="C280" s="21" t="s">
        <v>21</v>
      </c>
      <c r="D280" s="21" t="s">
        <v>22</v>
      </c>
      <c r="E280" s="21" t="s">
        <v>23</v>
      </c>
      <c r="F280" s="21" t="s">
        <v>24</v>
      </c>
    </row>
    <row r="281" spans="1:6" ht="14.25" customHeight="1" thickBot="1" x14ac:dyDescent="0.3">
      <c r="A281" s="23" t="s">
        <v>108</v>
      </c>
      <c r="B281" s="23" t="s">
        <v>108</v>
      </c>
      <c r="C281" s="23" t="s">
        <v>26</v>
      </c>
      <c r="D281" s="23" t="s">
        <v>27</v>
      </c>
      <c r="E281" s="23" t="s">
        <v>49</v>
      </c>
      <c r="F281" s="23"/>
    </row>
    <row r="282" spans="1:6" ht="14.25" customHeight="1" thickBot="1" x14ac:dyDescent="0.3">
      <c r="A282" s="39" t="s">
        <v>29</v>
      </c>
      <c r="B282" s="24" t="s">
        <v>30</v>
      </c>
      <c r="C282" s="25">
        <v>45716</v>
      </c>
      <c r="D282" s="39" t="s">
        <v>31</v>
      </c>
      <c r="E282" s="26" t="s">
        <v>32</v>
      </c>
      <c r="F282" s="27" t="s">
        <v>33</v>
      </c>
    </row>
    <row r="283" spans="1:6" ht="14.25" customHeight="1" thickBot="1" x14ac:dyDescent="0.3">
      <c r="A283" s="40"/>
      <c r="B283" s="24" t="s">
        <v>34</v>
      </c>
      <c r="C283" s="28">
        <f>IF(C282="","",IF(AND(MONTH(C282)&gt;=1,MONTH(C282)&lt;=3),1,IF(AND(MONTH(C282)&gt;=4,MONTH(C282)&lt;=6),2,IF(AND(MONTH(C282)&gt;=7,MONTH(C282)&lt;=9),3,4))))</f>
        <v>1</v>
      </c>
      <c r="D283" s="40"/>
      <c r="E283" s="26" t="s">
        <v>35</v>
      </c>
      <c r="F283" s="27" t="s">
        <v>36</v>
      </c>
    </row>
    <row r="284" spans="1:6" ht="14.25" customHeight="1" thickBot="1" x14ac:dyDescent="0.3">
      <c r="A284" s="40"/>
      <c r="B284" s="24" t="s">
        <v>37</v>
      </c>
      <c r="C284" s="25">
        <v>45730</v>
      </c>
      <c r="D284" s="40"/>
      <c r="E284" s="26" t="s">
        <v>38</v>
      </c>
      <c r="F284" s="27"/>
    </row>
    <row r="285" spans="1:6" ht="14.25" customHeight="1" thickBot="1" x14ac:dyDescent="0.3">
      <c r="A285" s="40"/>
      <c r="B285" s="24" t="s">
        <v>34</v>
      </c>
      <c r="C285" s="28">
        <f>IF(C284="","",IF(AND(MONTH(C284)&gt;=1,MONTH(C284)&lt;=3),1,IF(AND(MONTH(C284)&gt;=4,MONTH(C284)&lt;=6),2,IF(AND(MONTH(C284)&gt;=7,MONTH(C284)&lt;=9),3,4))))</f>
        <v>1</v>
      </c>
      <c r="D285" s="40"/>
      <c r="E285" s="26" t="s">
        <v>39</v>
      </c>
      <c r="F285" s="27"/>
    </row>
    <row r="287" spans="1:6" ht="14.25" customHeight="1" thickBot="1" x14ac:dyDescent="0.3">
      <c r="A287" s="29" t="s">
        <v>40</v>
      </c>
      <c r="B287" s="29" t="s">
        <v>41</v>
      </c>
      <c r="C287" s="29" t="s">
        <v>42</v>
      </c>
      <c r="D287" s="29" t="s">
        <v>43</v>
      </c>
      <c r="E287" s="29" t="s">
        <v>44</v>
      </c>
      <c r="F287" s="29" t="s">
        <v>45</v>
      </c>
    </row>
    <row r="288" spans="1:6" ht="14.25" customHeight="1" x14ac:dyDescent="0.25">
      <c r="A288" s="30" t="s">
        <v>53</v>
      </c>
      <c r="B288" s="31" t="str">
        <f ca="1">IFERROR(INDEX(UNSPSCDes,MATCH(INDIRECT(ADDRESS(ROW(),COLUMN()-1,4)),UNSPSCCode,0)),IF(INDIRECT(ADDRESS(ROW(),COLUMN()-1,4))="81112501","Servicio de licencias de programas informáticos",""))</f>
        <v>Servicio de licencias de programas informáticos</v>
      </c>
      <c r="C288" s="32" t="str">
        <f>IFERROR(VLOOKUP("UD",'[1]Informacion '!P:Q,2,FALSE),"")</f>
        <v>Unidad</v>
      </c>
      <c r="D288" s="30">
        <v>1</v>
      </c>
      <c r="E288" s="33">
        <v>207390</v>
      </c>
      <c r="F288" s="34">
        <f ca="1">INDIRECT(ADDRESS(ROW(),COLUMN()-2,4))*INDIRECT(ADDRESS(ROW(),COLUMN()-1,4))</f>
        <v>207390</v>
      </c>
    </row>
    <row r="289" spans="1:6" ht="14.25" customHeight="1" x14ac:dyDescent="0.25">
      <c r="E289" s="35" t="s">
        <v>47</v>
      </c>
      <c r="F289" s="36">
        <f ca="1">SUM(Table25[MONTO TOTAL ESTIMADO])</f>
        <v>207390</v>
      </c>
    </row>
    <row r="291" spans="1:6" ht="33.950000000000003" customHeight="1" thickBot="1" x14ac:dyDescent="0.3">
      <c r="A291" s="21" t="s">
        <v>19</v>
      </c>
      <c r="B291" s="21" t="s">
        <v>20</v>
      </c>
      <c r="C291" s="21" t="s">
        <v>21</v>
      </c>
      <c r="D291" s="21" t="s">
        <v>22</v>
      </c>
      <c r="E291" s="21" t="s">
        <v>23</v>
      </c>
      <c r="F291" s="21" t="s">
        <v>24</v>
      </c>
    </row>
    <row r="292" spans="1:6" ht="14.25" customHeight="1" thickBot="1" x14ac:dyDescent="0.3">
      <c r="A292" s="23" t="s">
        <v>109</v>
      </c>
      <c r="B292" s="23" t="s">
        <v>109</v>
      </c>
      <c r="C292" s="23" t="s">
        <v>55</v>
      </c>
      <c r="D292" s="23" t="s">
        <v>27</v>
      </c>
      <c r="E292" s="23" t="s">
        <v>52</v>
      </c>
      <c r="F292" s="23"/>
    </row>
    <row r="293" spans="1:6" ht="14.25" customHeight="1" thickBot="1" x14ac:dyDescent="0.3">
      <c r="A293" s="39" t="s">
        <v>29</v>
      </c>
      <c r="B293" s="24" t="s">
        <v>30</v>
      </c>
      <c r="C293" s="25">
        <v>45728</v>
      </c>
      <c r="D293" s="39" t="s">
        <v>31</v>
      </c>
      <c r="E293" s="26" t="s">
        <v>32</v>
      </c>
      <c r="F293" s="27" t="s">
        <v>33</v>
      </c>
    </row>
    <row r="294" spans="1:6" ht="14.25" customHeight="1" thickBot="1" x14ac:dyDescent="0.3">
      <c r="A294" s="40"/>
      <c r="B294" s="24" t="s">
        <v>34</v>
      </c>
      <c r="C294" s="28">
        <f>IF(C293="","",IF(AND(MONTH(C293)&gt;=1,MONTH(C293)&lt;=3),1,IF(AND(MONTH(C293)&gt;=4,MONTH(C293)&lt;=6),2,IF(AND(MONTH(C293)&gt;=7,MONTH(C293)&lt;=9),3,4))))</f>
        <v>1</v>
      </c>
      <c r="D294" s="40"/>
      <c r="E294" s="26" t="s">
        <v>35</v>
      </c>
      <c r="F294" s="27" t="s">
        <v>36</v>
      </c>
    </row>
    <row r="295" spans="1:6" ht="14.25" customHeight="1" thickBot="1" x14ac:dyDescent="0.3">
      <c r="A295" s="40"/>
      <c r="B295" s="24" t="s">
        <v>37</v>
      </c>
      <c r="C295" s="25">
        <v>45734</v>
      </c>
      <c r="D295" s="40"/>
      <c r="E295" s="26" t="s">
        <v>38</v>
      </c>
      <c r="F295" s="27" t="s">
        <v>36</v>
      </c>
    </row>
    <row r="296" spans="1:6" ht="14.25" customHeight="1" thickBot="1" x14ac:dyDescent="0.3">
      <c r="A296" s="40"/>
      <c r="B296" s="24" t="s">
        <v>34</v>
      </c>
      <c r="C296" s="28">
        <f>IF(C295="","",IF(AND(MONTH(C295)&gt;=1,MONTH(C295)&lt;=3),1,IF(AND(MONTH(C295)&gt;=4,MONTH(C295)&lt;=6),2,IF(AND(MONTH(C295)&gt;=7,MONTH(C295)&lt;=9),3,4))))</f>
        <v>1</v>
      </c>
      <c r="D296" s="40"/>
      <c r="E296" s="26" t="s">
        <v>39</v>
      </c>
      <c r="F296" s="27"/>
    </row>
    <row r="298" spans="1:6" ht="14.25" customHeight="1" thickBot="1" x14ac:dyDescent="0.3">
      <c r="A298" s="29" t="s">
        <v>40</v>
      </c>
      <c r="B298" s="29" t="s">
        <v>41</v>
      </c>
      <c r="C298" s="29" t="s">
        <v>42</v>
      </c>
      <c r="D298" s="29" t="s">
        <v>43</v>
      </c>
      <c r="E298" s="29" t="s">
        <v>44</v>
      </c>
      <c r="F298" s="29" t="s">
        <v>45</v>
      </c>
    </row>
    <row r="299" spans="1:6" ht="14.25" customHeight="1" x14ac:dyDescent="0.25">
      <c r="A299" s="30" t="s">
        <v>110</v>
      </c>
      <c r="B299" s="31" t="str">
        <f ca="1">IFERROR(INDEX(UNSPSCDes,MATCH(INDIRECT(ADDRESS(ROW(),COLUMN()-1,4)),UNSPSCCode,0)),IF(INDIRECT(ADDRESS(ROW(),COLUMN()-1,4))="39121205","Canaletas para cables",""))</f>
        <v>Canaletas para cables</v>
      </c>
      <c r="C299" s="32" t="str">
        <f>IFERROR(VLOOKUP("UD",'[1]Informacion '!P:Q,2,FALSE),"")</f>
        <v>Unidad</v>
      </c>
      <c r="D299" s="30">
        <v>30</v>
      </c>
      <c r="E299" s="33">
        <v>250</v>
      </c>
      <c r="F299" s="34">
        <f t="shared" ref="F299:F316" ca="1" si="4">INDIRECT(ADDRESS(ROW(),COLUMN()-2,4))*INDIRECT(ADDRESS(ROW(),COLUMN()-1,4))</f>
        <v>7500</v>
      </c>
    </row>
    <row r="300" spans="1:6" ht="14.25" customHeight="1" x14ac:dyDescent="0.25">
      <c r="A300" s="30" t="s">
        <v>111</v>
      </c>
      <c r="B300" s="31" t="str">
        <f ca="1">IFERROR(INDEX(UNSPSCDes,MATCH(INDIRECT(ADDRESS(ROW(),COLUMN()-1,4)),UNSPSCCode,0)),IF(INDIRECT(ADDRESS(ROW(),COLUMN()-1,4))="39121409","Conectores de cables eléctricos",""))</f>
        <v>Conectores de cables eléctricos</v>
      </c>
      <c r="C300" s="32" t="str">
        <f>IFERROR(VLOOKUP("UD",'[1]Informacion '!P:Q,2,FALSE),"")</f>
        <v>Unidad</v>
      </c>
      <c r="D300" s="30">
        <v>40</v>
      </c>
      <c r="E300" s="33">
        <v>180</v>
      </c>
      <c r="F300" s="34">
        <f t="shared" ca="1" si="4"/>
        <v>7200</v>
      </c>
    </row>
    <row r="301" spans="1:6" ht="14.25" customHeight="1" x14ac:dyDescent="0.25">
      <c r="A301" s="30" t="s">
        <v>112</v>
      </c>
      <c r="B301" s="31" t="str">
        <f ca="1">IFERROR(INDEX(UNSPSCDes,MATCH(INDIRECT(ADDRESS(ROW(),COLUMN()-1,4)),UNSPSCCode,0)),IF(INDIRECT(ADDRESS(ROW(),COLUMN()-1,4))="39121310","Cajas de uso general",""))</f>
        <v>Cajas de uso general</v>
      </c>
      <c r="C301" s="32" t="str">
        <f>IFERROR(VLOOKUP("UD",'[1]Informacion '!P:Q,2,FALSE),"")</f>
        <v>Unidad</v>
      </c>
      <c r="D301" s="30">
        <v>10</v>
      </c>
      <c r="E301" s="33">
        <v>203</v>
      </c>
      <c r="F301" s="34">
        <f t="shared" ca="1" si="4"/>
        <v>2030</v>
      </c>
    </row>
    <row r="302" spans="1:6" ht="14.25" customHeight="1" x14ac:dyDescent="0.25">
      <c r="A302" s="30" t="s">
        <v>111</v>
      </c>
      <c r="B302" s="31" t="str">
        <f ca="1">IFERROR(INDEX(UNSPSCDes,MATCH(INDIRECT(ADDRESS(ROW(),COLUMN()-1,4)),UNSPSCCode,0)),IF(INDIRECT(ADDRESS(ROW(),COLUMN()-1,4))="39121409","Conectores de cables eléctricos",""))</f>
        <v>Conectores de cables eléctricos</v>
      </c>
      <c r="C302" s="32" t="str">
        <f>IFERROR(VLOOKUP("UD",'[1]Informacion '!P:Q,2,FALSE),"")</f>
        <v>Unidad</v>
      </c>
      <c r="D302" s="30">
        <v>100</v>
      </c>
      <c r="E302" s="33">
        <v>7</v>
      </c>
      <c r="F302" s="34">
        <f t="shared" ca="1" si="4"/>
        <v>700</v>
      </c>
    </row>
    <row r="303" spans="1:6" ht="14.25" customHeight="1" x14ac:dyDescent="0.25">
      <c r="A303" s="30" t="s">
        <v>113</v>
      </c>
      <c r="B303" s="31" t="str">
        <f ca="1">IFERROR(INDEX(UNSPSCDes,MATCH(INDIRECT(ADDRESS(ROW(),COLUMN()-1,4)),UNSPSCCode,0)),IF(INDIRECT(ADDRESS(ROW(),COLUMN()-1,4))="39121435","Hilos o cables de conexión",""))</f>
        <v>Hilos o cables de conexión</v>
      </c>
      <c r="C303" s="32" t="str">
        <f>IFERROR(VLOOKUP("UD",'[1]Informacion '!P:Q,2,FALSE),"")</f>
        <v>Unidad</v>
      </c>
      <c r="D303" s="30">
        <v>200</v>
      </c>
      <c r="E303" s="33">
        <v>60</v>
      </c>
      <c r="F303" s="34">
        <f t="shared" ca="1" si="4"/>
        <v>12000</v>
      </c>
    </row>
    <row r="304" spans="1:6" ht="14.25" customHeight="1" x14ac:dyDescent="0.25">
      <c r="A304" s="30" t="s">
        <v>113</v>
      </c>
      <c r="B304" s="31" t="str">
        <f ca="1">IFERROR(INDEX(UNSPSCDes,MATCH(INDIRECT(ADDRESS(ROW(),COLUMN()-1,4)),UNSPSCCode,0)),IF(INDIRECT(ADDRESS(ROW(),COLUMN()-1,4))="39121435","Hilos o cables de conexión",""))</f>
        <v>Hilos o cables de conexión</v>
      </c>
      <c r="C304" s="32" t="str">
        <f>IFERROR(VLOOKUP("UD",'[1]Informacion '!P:Q,2,FALSE),"")</f>
        <v>Unidad</v>
      </c>
      <c r="D304" s="30">
        <v>500</v>
      </c>
      <c r="E304" s="33">
        <v>15</v>
      </c>
      <c r="F304" s="34">
        <f t="shared" ca="1" si="4"/>
        <v>7500</v>
      </c>
    </row>
    <row r="305" spans="1:6" ht="14.25" customHeight="1" x14ac:dyDescent="0.25">
      <c r="A305" s="30" t="s">
        <v>114</v>
      </c>
      <c r="B305" s="31" t="str">
        <f ca="1">IFERROR(INDEX(UNSPSCDes,MATCH(INDIRECT(ADDRESS(ROW(),COLUMN()-1,4)),UNSPSCCode,0)),IF(INDIRECT(ADDRESS(ROW(),COLUMN()-1,4))="39121402","Enchufes eléctricos",""))</f>
        <v>Enchufes eléctricos</v>
      </c>
      <c r="C305" s="32" t="str">
        <f>IFERROR(VLOOKUP("UD",'[1]Informacion '!P:Q,2,FALSE),"")</f>
        <v>Unidad</v>
      </c>
      <c r="D305" s="30">
        <v>30</v>
      </c>
      <c r="E305" s="33">
        <v>150</v>
      </c>
      <c r="F305" s="34">
        <f t="shared" ca="1" si="4"/>
        <v>4500</v>
      </c>
    </row>
    <row r="306" spans="1:6" ht="14.25" customHeight="1" x14ac:dyDescent="0.25">
      <c r="A306" s="30" t="s">
        <v>112</v>
      </c>
      <c r="B306" s="31" t="str">
        <f ca="1">IFERROR(INDEX(UNSPSCDes,MATCH(INDIRECT(ADDRESS(ROW(),COLUMN()-1,4)),UNSPSCCode,0)),IF(INDIRECT(ADDRESS(ROW(),COLUMN()-1,4))="39121310","Cajas de uso general",""))</f>
        <v>Cajas de uso general</v>
      </c>
      <c r="C306" s="32" t="str">
        <f>IFERROR(VLOOKUP("UD",'[1]Informacion '!P:Q,2,FALSE),"")</f>
        <v>Unidad</v>
      </c>
      <c r="D306" s="30">
        <v>10</v>
      </c>
      <c r="E306" s="33">
        <v>150</v>
      </c>
      <c r="F306" s="34">
        <f t="shared" ca="1" si="4"/>
        <v>1500</v>
      </c>
    </row>
    <row r="307" spans="1:6" ht="14.25" customHeight="1" x14ac:dyDescent="0.25">
      <c r="A307" s="30" t="s">
        <v>115</v>
      </c>
      <c r="B307" s="31" t="str">
        <f ca="1">IFERROR(INDEX(UNSPSCDes,MATCH(INDIRECT(ADDRESS(ROW(),COLUMN()-1,4)),UNSPSCCode,0)),IF(INDIRECT(ADDRESS(ROW(),COLUMN()-1,4))="31161509","Tornillos para drywall",""))</f>
        <v>Tornillos para drywall</v>
      </c>
      <c r="C307" s="32" t="str">
        <f>IFERROR(VLOOKUP("UD",'[1]Informacion '!P:Q,2,FALSE),"")</f>
        <v>Unidad</v>
      </c>
      <c r="D307" s="30">
        <v>3</v>
      </c>
      <c r="E307" s="33">
        <v>175</v>
      </c>
      <c r="F307" s="34">
        <f t="shared" ca="1" si="4"/>
        <v>525</v>
      </c>
    </row>
    <row r="308" spans="1:6" ht="14.25" customHeight="1" x14ac:dyDescent="0.25">
      <c r="A308" s="30" t="s">
        <v>115</v>
      </c>
      <c r="B308" s="31" t="str">
        <f ca="1">IFERROR(INDEX(UNSPSCDes,MATCH(INDIRECT(ADDRESS(ROW(),COLUMN()-1,4)),UNSPSCCode,0)),IF(INDIRECT(ADDRESS(ROW(),COLUMN()-1,4))="31161509","Tornillos para drywall",""))</f>
        <v>Tornillos para drywall</v>
      </c>
      <c r="C308" s="32" t="str">
        <f>IFERROR(VLOOKUP("UD",'[1]Informacion '!P:Q,2,FALSE),"")</f>
        <v>Unidad</v>
      </c>
      <c r="D308" s="30">
        <v>2</v>
      </c>
      <c r="E308" s="33">
        <v>180</v>
      </c>
      <c r="F308" s="34">
        <f t="shared" ca="1" si="4"/>
        <v>360</v>
      </c>
    </row>
    <row r="309" spans="1:6" ht="14.25" customHeight="1" x14ac:dyDescent="0.25">
      <c r="A309" s="30" t="s">
        <v>116</v>
      </c>
      <c r="B309" s="31" t="str">
        <f ca="1">IFERROR(INDEX(UNSPSCDes,MATCH(INDIRECT(ADDRESS(ROW(),COLUMN()-1,4)),UNSPSCCode,0)),IF(INDIRECT(ADDRESS(ROW(),COLUMN()-1,4))="31231302","Tubería de cobre",""))</f>
        <v>Tubería de cobre</v>
      </c>
      <c r="C309" s="32" t="str">
        <f>IFERROR(VLOOKUP("UD",'[1]Informacion '!P:Q,2,FALSE),"")</f>
        <v>Unidad</v>
      </c>
      <c r="D309" s="30">
        <v>3</v>
      </c>
      <c r="E309" s="33">
        <v>2000</v>
      </c>
      <c r="F309" s="34">
        <f t="shared" ca="1" si="4"/>
        <v>6000</v>
      </c>
    </row>
    <row r="310" spans="1:6" ht="14.25" customHeight="1" x14ac:dyDescent="0.25">
      <c r="A310" s="30" t="s">
        <v>117</v>
      </c>
      <c r="B310" s="31" t="str">
        <f ca="1">IFERROR(INDEX(UNSPSCDes,MATCH(INDIRECT(ADDRESS(ROW(),COLUMN()-1,4)),UNSPSCCode,0)),IF(INDIRECT(ADDRESS(ROW(),COLUMN()-1,4))="40151610","Piezas de compresor o accesorios",""))</f>
        <v>Piezas de compresor o accesorios</v>
      </c>
      <c r="C310" s="32" t="str">
        <f>IFERROR(VLOOKUP("UD",'[1]Informacion '!P:Q,2,FALSE),"")</f>
        <v>Unidad</v>
      </c>
      <c r="D310" s="30">
        <v>2</v>
      </c>
      <c r="E310" s="33">
        <v>6000</v>
      </c>
      <c r="F310" s="34">
        <f t="shared" ca="1" si="4"/>
        <v>12000</v>
      </c>
    </row>
    <row r="311" spans="1:6" ht="14.25" customHeight="1" x14ac:dyDescent="0.25">
      <c r="A311" s="30" t="s">
        <v>114</v>
      </c>
      <c r="B311" s="31" t="str">
        <f ca="1">IFERROR(INDEX(UNSPSCDes,MATCH(INDIRECT(ADDRESS(ROW(),COLUMN()-1,4)),UNSPSCCode,0)),IF(INDIRECT(ADDRESS(ROW(),COLUMN()-1,4))="39121402","Enchufes eléctricos",""))</f>
        <v>Enchufes eléctricos</v>
      </c>
      <c r="C311" s="32" t="str">
        <f>IFERROR(VLOOKUP("UD",'[1]Informacion '!P:Q,2,FALSE),"")</f>
        <v>Unidad</v>
      </c>
      <c r="D311" s="30">
        <v>6</v>
      </c>
      <c r="E311" s="33">
        <v>180</v>
      </c>
      <c r="F311" s="34">
        <f t="shared" ca="1" si="4"/>
        <v>1080</v>
      </c>
    </row>
    <row r="312" spans="1:6" ht="14.25" customHeight="1" x14ac:dyDescent="0.25">
      <c r="A312" s="30" t="s">
        <v>118</v>
      </c>
      <c r="B312" s="31" t="str">
        <f ca="1">IFERROR(INDEX(UNSPSCDes,MATCH(INDIRECT(ADDRESS(ROW(),COLUMN()-1,4)),UNSPSCCode,0)),IF(INDIRECT(ADDRESS(ROW(),COLUMN()-1,4))="39121721","Aislantes eléctricos",""))</f>
        <v>Aislantes eléctricos</v>
      </c>
      <c r="C312" s="32" t="str">
        <f>IFERROR(VLOOKUP("UD",'[1]Informacion '!P:Q,2,FALSE),"")</f>
        <v>Unidad</v>
      </c>
      <c r="D312" s="30">
        <v>3</v>
      </c>
      <c r="E312" s="33">
        <v>325</v>
      </c>
      <c r="F312" s="34">
        <f t="shared" ca="1" si="4"/>
        <v>975</v>
      </c>
    </row>
    <row r="313" spans="1:6" ht="14.25" customHeight="1" x14ac:dyDescent="0.25">
      <c r="A313" s="30" t="s">
        <v>119</v>
      </c>
      <c r="B313" s="31" t="str">
        <f ca="1">IFERROR(INDEX(UNSPSCDes,MATCH(INDIRECT(ADDRESS(ROW(),COLUMN()-1,4)),UNSPSCCode,0)),IF(INDIRECT(ADDRESS(ROW(),COLUMN()-1,4))="26111706","Pilas electrónicas",""))</f>
        <v>Pilas electrónicas</v>
      </c>
      <c r="C313" s="32" t="str">
        <f>IFERROR(VLOOKUP("UD",'[1]Informacion '!P:Q,2,FALSE),"")</f>
        <v>Unidad</v>
      </c>
      <c r="D313" s="30">
        <v>24</v>
      </c>
      <c r="E313" s="33">
        <v>50</v>
      </c>
      <c r="F313" s="34">
        <f t="shared" ca="1" si="4"/>
        <v>1200</v>
      </c>
    </row>
    <row r="314" spans="1:6" ht="14.25" customHeight="1" x14ac:dyDescent="0.25">
      <c r="A314" s="30" t="s">
        <v>119</v>
      </c>
      <c r="B314" s="31" t="str">
        <f ca="1">IFERROR(INDEX(UNSPSCDes,MATCH(INDIRECT(ADDRESS(ROW(),COLUMN()-1,4)),UNSPSCCode,0)),IF(INDIRECT(ADDRESS(ROW(),COLUMN()-1,4))="26111706","Pilas electrónicas",""))</f>
        <v>Pilas electrónicas</v>
      </c>
      <c r="C314" s="32" t="str">
        <f>IFERROR(VLOOKUP("UD",'[1]Informacion '!P:Q,2,FALSE),"")</f>
        <v>Unidad</v>
      </c>
      <c r="D314" s="30">
        <v>8</v>
      </c>
      <c r="E314" s="33">
        <v>75</v>
      </c>
      <c r="F314" s="34">
        <f t="shared" ca="1" si="4"/>
        <v>600</v>
      </c>
    </row>
    <row r="315" spans="1:6" ht="14.25" customHeight="1" x14ac:dyDescent="0.25">
      <c r="A315" s="30" t="s">
        <v>120</v>
      </c>
      <c r="B315" s="31" t="str">
        <f ca="1">IFERROR(INDEX(UNSPSCDes,MATCH(INDIRECT(ADDRESS(ROW(),COLUMN()-1,4)),UNSPSCCode,0)),IF(INDIRECT(ADDRESS(ROW(),COLUMN()-1,4))="30111601","Cemento",""))</f>
        <v>Cemento</v>
      </c>
      <c r="C315" s="32" t="str">
        <f>IFERROR(VLOOKUP("UD",'[1]Informacion '!P:Q,2,FALSE),"")</f>
        <v>Unidad</v>
      </c>
      <c r="D315" s="30">
        <v>2</v>
      </c>
      <c r="E315" s="33">
        <v>550</v>
      </c>
      <c r="F315" s="34">
        <f t="shared" ca="1" si="4"/>
        <v>1100</v>
      </c>
    </row>
    <row r="316" spans="1:6" ht="14.25" customHeight="1" x14ac:dyDescent="0.25">
      <c r="A316" s="30" t="s">
        <v>120</v>
      </c>
      <c r="B316" s="31" t="str">
        <f ca="1">IFERROR(INDEX(UNSPSCDes,MATCH(INDIRECT(ADDRESS(ROW(),COLUMN()-1,4)),UNSPSCCode,0)),IF(INDIRECT(ADDRESS(ROW(),COLUMN()-1,4))="30111601","Cemento",""))</f>
        <v>Cemento</v>
      </c>
      <c r="C316" s="32" t="str">
        <f>IFERROR(VLOOKUP("LB",'[1]Informacion '!P:Q,2,FALSE),"")</f>
        <v>Libra </v>
      </c>
      <c r="D316" s="30">
        <v>10</v>
      </c>
      <c r="E316" s="33">
        <v>30</v>
      </c>
      <c r="F316" s="34">
        <f t="shared" ca="1" si="4"/>
        <v>300</v>
      </c>
    </row>
    <row r="317" spans="1:6" ht="14.25" customHeight="1" x14ac:dyDescent="0.25">
      <c r="E317" s="35" t="s">
        <v>47</v>
      </c>
      <c r="F317" s="36">
        <f ca="1">SUM(Table26[MONTO TOTAL ESTIMADO])</f>
        <v>67070</v>
      </c>
    </row>
    <row r="319" spans="1:6" ht="33.950000000000003" customHeight="1" thickBot="1" x14ac:dyDescent="0.3">
      <c r="A319" s="21" t="s">
        <v>19</v>
      </c>
      <c r="B319" s="21" t="s">
        <v>20</v>
      </c>
      <c r="C319" s="21" t="s">
        <v>21</v>
      </c>
      <c r="D319" s="21" t="s">
        <v>22</v>
      </c>
      <c r="E319" s="21" t="s">
        <v>23</v>
      </c>
      <c r="F319" s="21" t="s">
        <v>24</v>
      </c>
    </row>
    <row r="320" spans="1:6" ht="14.25" customHeight="1" thickBot="1" x14ac:dyDescent="0.3">
      <c r="A320" s="23" t="s">
        <v>121</v>
      </c>
      <c r="B320" s="23" t="s">
        <v>121</v>
      </c>
      <c r="C320" s="23" t="s">
        <v>55</v>
      </c>
      <c r="D320" s="23" t="s">
        <v>62</v>
      </c>
      <c r="E320" s="23" t="s">
        <v>52</v>
      </c>
      <c r="F320" s="23"/>
    </row>
    <row r="321" spans="1:6" ht="14.25" customHeight="1" thickBot="1" x14ac:dyDescent="0.3">
      <c r="A321" s="39" t="s">
        <v>29</v>
      </c>
      <c r="B321" s="24" t="s">
        <v>30</v>
      </c>
      <c r="C321" s="25">
        <v>45761</v>
      </c>
      <c r="D321" s="39" t="s">
        <v>31</v>
      </c>
      <c r="E321" s="26" t="s">
        <v>32</v>
      </c>
      <c r="F321" s="27" t="s">
        <v>33</v>
      </c>
    </row>
    <row r="322" spans="1:6" ht="14.25" customHeight="1" thickBot="1" x14ac:dyDescent="0.3">
      <c r="A322" s="40"/>
      <c r="B322" s="24" t="s">
        <v>34</v>
      </c>
      <c r="C322" s="28">
        <f>IF(C321="","",IF(AND(MONTH(C321)&gt;=1,MONTH(C321)&lt;=3),1,IF(AND(MONTH(C321)&gt;=4,MONTH(C321)&lt;=6),2,IF(AND(MONTH(C321)&gt;=7,MONTH(C321)&lt;=9),3,4))))</f>
        <v>2</v>
      </c>
      <c r="D322" s="40"/>
      <c r="E322" s="26" t="s">
        <v>35</v>
      </c>
      <c r="F322" s="27" t="s">
        <v>36</v>
      </c>
    </row>
    <row r="323" spans="1:6" ht="14.25" customHeight="1" thickBot="1" x14ac:dyDescent="0.3">
      <c r="A323" s="40"/>
      <c r="B323" s="24" t="s">
        <v>37</v>
      </c>
      <c r="C323" s="25">
        <v>45768</v>
      </c>
      <c r="D323" s="40"/>
      <c r="E323" s="26" t="s">
        <v>38</v>
      </c>
      <c r="F323" s="27" t="s">
        <v>36</v>
      </c>
    </row>
    <row r="324" spans="1:6" ht="14.25" customHeight="1" thickBot="1" x14ac:dyDescent="0.3">
      <c r="A324" s="40"/>
      <c r="B324" s="24" t="s">
        <v>34</v>
      </c>
      <c r="C324" s="28">
        <f>IF(C323="","",IF(AND(MONTH(C323)&gt;=1,MONTH(C323)&lt;=3),1,IF(AND(MONTH(C323)&gt;=4,MONTH(C323)&lt;=6),2,IF(AND(MONTH(C323)&gt;=7,MONTH(C323)&lt;=9),3,4))))</f>
        <v>2</v>
      </c>
      <c r="D324" s="40"/>
      <c r="E324" s="26" t="s">
        <v>39</v>
      </c>
      <c r="F324" s="27"/>
    </row>
    <row r="326" spans="1:6" ht="14.25" customHeight="1" thickBot="1" x14ac:dyDescent="0.3">
      <c r="A326" s="29" t="s">
        <v>40</v>
      </c>
      <c r="B326" s="29" t="s">
        <v>41</v>
      </c>
      <c r="C326" s="29" t="s">
        <v>42</v>
      </c>
      <c r="D326" s="29" t="s">
        <v>43</v>
      </c>
      <c r="E326" s="29" t="s">
        <v>44</v>
      </c>
      <c r="F326" s="29" t="s">
        <v>45</v>
      </c>
    </row>
    <row r="327" spans="1:6" ht="14.25" customHeight="1" x14ac:dyDescent="0.25">
      <c r="A327" s="30" t="s">
        <v>122</v>
      </c>
      <c r="B327" s="31" t="str">
        <f ca="1">IFERROR(INDEX(UNSPSCDes,MATCH(INDIRECT(ADDRESS(ROW(),COLUMN()-1,4)),UNSPSCCode,0)),IF(INDIRECT(ADDRESS(ROW(),COLUMN()-1,4))="25172504","Neumáticos para automoviles o camiones ligeros",""))</f>
        <v>Neumáticos para automoviles o camiones ligeros</v>
      </c>
      <c r="C327" s="32" t="str">
        <f>IFERROR(VLOOKUP("UD",'[1]Informacion '!P:Q,2,FALSE),"")</f>
        <v>Unidad</v>
      </c>
      <c r="D327" s="30">
        <v>4</v>
      </c>
      <c r="E327" s="33">
        <v>10000</v>
      </c>
      <c r="F327" s="34">
        <f ca="1">INDIRECT(ADDRESS(ROW(),COLUMN()-2,4))*INDIRECT(ADDRESS(ROW(),COLUMN()-1,4))</f>
        <v>40000</v>
      </c>
    </row>
    <row r="328" spans="1:6" ht="14.25" customHeight="1" x14ac:dyDescent="0.25">
      <c r="A328" s="30" t="s">
        <v>122</v>
      </c>
      <c r="B328" s="31" t="str">
        <f ca="1">IFERROR(INDEX(UNSPSCDes,MATCH(INDIRECT(ADDRESS(ROW(),COLUMN()-1,4)),UNSPSCCode,0)),IF(INDIRECT(ADDRESS(ROW(),COLUMN()-1,4))="25172504","Neumáticos para automoviles o camiones ligeros",""))</f>
        <v>Neumáticos para automoviles o camiones ligeros</v>
      </c>
      <c r="C328" s="32" t="str">
        <f>IFERROR(VLOOKUP("UD",'[1]Informacion '!P:Q,2,FALSE),"")</f>
        <v>Unidad</v>
      </c>
      <c r="D328" s="30">
        <v>4</v>
      </c>
      <c r="E328" s="33">
        <v>10000</v>
      </c>
      <c r="F328" s="34">
        <f ca="1">INDIRECT(ADDRESS(ROW(),COLUMN()-2,4))*INDIRECT(ADDRESS(ROW(),COLUMN()-1,4))</f>
        <v>40000</v>
      </c>
    </row>
    <row r="329" spans="1:6" ht="14.25" customHeight="1" x14ac:dyDescent="0.25">
      <c r="A329" s="30" t="s">
        <v>122</v>
      </c>
      <c r="B329" s="31" t="str">
        <f ca="1">IFERROR(INDEX(UNSPSCDes,MATCH(INDIRECT(ADDRESS(ROW(),COLUMN()-1,4)),UNSPSCCode,0)),IF(INDIRECT(ADDRESS(ROW(),COLUMN()-1,4))="25172504","Neumáticos para automoviles o camiones ligeros",""))</f>
        <v>Neumáticos para automoviles o camiones ligeros</v>
      </c>
      <c r="C329" s="32" t="str">
        <f>IFERROR(VLOOKUP("UD",'[1]Informacion '!P:Q,2,FALSE),"")</f>
        <v>Unidad</v>
      </c>
      <c r="D329" s="30">
        <v>4</v>
      </c>
      <c r="E329" s="33">
        <v>10000</v>
      </c>
      <c r="F329" s="34">
        <f ca="1">INDIRECT(ADDRESS(ROW(),COLUMN()-2,4))*INDIRECT(ADDRESS(ROW(),COLUMN()-1,4))</f>
        <v>40000</v>
      </c>
    </row>
    <row r="330" spans="1:6" ht="14.25" customHeight="1" x14ac:dyDescent="0.25">
      <c r="A330" s="30" t="s">
        <v>123</v>
      </c>
      <c r="B330" s="31" t="str">
        <f ca="1">IFERROR(INDEX(UNSPSCDes,MATCH(INDIRECT(ADDRESS(ROW(),COLUMN()-1,4)),UNSPSCCode,0)),IF(INDIRECT(ADDRESS(ROW(),COLUMN()-1,4))="25172512","Neumático para motocicleta
",""))</f>
        <v xml:space="preserve">Neumático para motocicleta
</v>
      </c>
      <c r="C330" s="32" t="str">
        <f>IFERROR(VLOOKUP("UD",'[1]Informacion '!P:Q,2,FALSE),"")</f>
        <v>Unidad</v>
      </c>
      <c r="D330" s="30">
        <v>10</v>
      </c>
      <c r="E330" s="33">
        <v>2000</v>
      </c>
      <c r="F330" s="34">
        <f ca="1">INDIRECT(ADDRESS(ROW(),COLUMN()-2,4))*INDIRECT(ADDRESS(ROW(),COLUMN()-1,4))</f>
        <v>20000</v>
      </c>
    </row>
    <row r="331" spans="1:6" ht="14.25" customHeight="1" x14ac:dyDescent="0.25">
      <c r="E331" s="35" t="s">
        <v>47</v>
      </c>
      <c r="F331" s="36">
        <f ca="1">SUM(Table27[MONTO TOTAL ESTIMADO])</f>
        <v>140000</v>
      </c>
    </row>
    <row r="333" spans="1:6" ht="33.950000000000003" customHeight="1" thickBot="1" x14ac:dyDescent="0.3">
      <c r="A333" s="21" t="s">
        <v>19</v>
      </c>
      <c r="B333" s="21" t="s">
        <v>20</v>
      </c>
      <c r="C333" s="21" t="s">
        <v>21</v>
      </c>
      <c r="D333" s="21" t="s">
        <v>22</v>
      </c>
      <c r="E333" s="21" t="s">
        <v>23</v>
      </c>
      <c r="F333" s="21" t="s">
        <v>24</v>
      </c>
    </row>
    <row r="334" spans="1:6" ht="14.25" customHeight="1" thickBot="1" x14ac:dyDescent="0.3">
      <c r="A334" s="23" t="s">
        <v>124</v>
      </c>
      <c r="B334" s="23" t="s">
        <v>124</v>
      </c>
      <c r="C334" s="23" t="s">
        <v>55</v>
      </c>
      <c r="D334" s="23" t="s">
        <v>27</v>
      </c>
      <c r="E334" s="23" t="s">
        <v>52</v>
      </c>
      <c r="F334" s="23"/>
    </row>
    <row r="335" spans="1:6" ht="14.25" customHeight="1" thickBot="1" x14ac:dyDescent="0.3">
      <c r="A335" s="39" t="s">
        <v>29</v>
      </c>
      <c r="B335" s="24" t="s">
        <v>30</v>
      </c>
      <c r="C335" s="25">
        <v>45761</v>
      </c>
      <c r="D335" s="39" t="s">
        <v>31</v>
      </c>
      <c r="E335" s="26" t="s">
        <v>32</v>
      </c>
      <c r="F335" s="27" t="s">
        <v>33</v>
      </c>
    </row>
    <row r="336" spans="1:6" ht="14.25" customHeight="1" thickBot="1" x14ac:dyDescent="0.3">
      <c r="A336" s="40"/>
      <c r="B336" s="24" t="s">
        <v>34</v>
      </c>
      <c r="C336" s="28">
        <f>IF(C335="","",IF(AND(MONTH(C335)&gt;=1,MONTH(C335)&lt;=3),1,IF(AND(MONTH(C335)&gt;=4,MONTH(C335)&lt;=6),2,IF(AND(MONTH(C335)&gt;=7,MONTH(C335)&lt;=9),3,4))))</f>
        <v>2</v>
      </c>
      <c r="D336" s="40"/>
      <c r="E336" s="26" t="s">
        <v>35</v>
      </c>
      <c r="F336" s="27" t="s">
        <v>36</v>
      </c>
    </row>
    <row r="337" spans="1:6" ht="14.25" customHeight="1" thickBot="1" x14ac:dyDescent="0.3">
      <c r="A337" s="40"/>
      <c r="B337" s="24" t="s">
        <v>37</v>
      </c>
      <c r="C337" s="25">
        <v>45766</v>
      </c>
      <c r="D337" s="40"/>
      <c r="E337" s="26" t="s">
        <v>38</v>
      </c>
      <c r="F337" s="27" t="s">
        <v>36</v>
      </c>
    </row>
    <row r="338" spans="1:6" ht="14.25" customHeight="1" thickBot="1" x14ac:dyDescent="0.3">
      <c r="A338" s="40"/>
      <c r="B338" s="24" t="s">
        <v>34</v>
      </c>
      <c r="C338" s="28">
        <f>IF(C337="","",IF(AND(MONTH(C337)&gt;=1,MONTH(C337)&lt;=3),1,IF(AND(MONTH(C337)&gt;=4,MONTH(C337)&lt;=6),2,IF(AND(MONTH(C337)&gt;=7,MONTH(C337)&lt;=9),3,4))))</f>
        <v>2</v>
      </c>
      <c r="D338" s="40"/>
      <c r="E338" s="26" t="s">
        <v>39</v>
      </c>
      <c r="F338" s="27"/>
    </row>
    <row r="340" spans="1:6" ht="14.25" customHeight="1" thickBot="1" x14ac:dyDescent="0.3">
      <c r="A340" s="29" t="s">
        <v>40</v>
      </c>
      <c r="B340" s="29" t="s">
        <v>41</v>
      </c>
      <c r="C340" s="29" t="s">
        <v>42</v>
      </c>
      <c r="D340" s="29" t="s">
        <v>43</v>
      </c>
      <c r="E340" s="29" t="s">
        <v>44</v>
      </c>
      <c r="F340" s="29" t="s">
        <v>45</v>
      </c>
    </row>
    <row r="341" spans="1:6" ht="14.25" customHeight="1" x14ac:dyDescent="0.25">
      <c r="A341" s="30" t="s">
        <v>125</v>
      </c>
      <c r="B341" s="31" t="str">
        <f ca="1">IFERROR(INDEX(UNSPSCDes,MATCH(INDIRECT(ADDRESS(ROW(),COLUMN()-1,4)),UNSPSCCode,0)),IF(INDIRECT(ADDRESS(ROW(),COLUMN()-1,4))="26111707","Baterías de plomo-ácido",""))</f>
        <v>Baterías de plomo-ácido</v>
      </c>
      <c r="C341" s="32" t="str">
        <f>IFERROR(VLOOKUP("UD",'[1]Informacion '!P:Q,2,FALSE),"")</f>
        <v>Unidad</v>
      </c>
      <c r="D341" s="30">
        <v>1</v>
      </c>
      <c r="E341" s="33">
        <v>10000</v>
      </c>
      <c r="F341" s="34">
        <f ca="1">INDIRECT(ADDRESS(ROW(),COLUMN()-2,4))*INDIRECT(ADDRESS(ROW(),COLUMN()-1,4))</f>
        <v>10000</v>
      </c>
    </row>
    <row r="342" spans="1:6" ht="14.25" customHeight="1" x14ac:dyDescent="0.25">
      <c r="A342" s="30" t="s">
        <v>125</v>
      </c>
      <c r="B342" s="31" t="str">
        <f ca="1">IFERROR(INDEX(UNSPSCDes,MATCH(INDIRECT(ADDRESS(ROW(),COLUMN()-1,4)),UNSPSCCode,0)),IF(INDIRECT(ADDRESS(ROW(),COLUMN()-1,4))="26111707","Baterías de plomo-ácido",""))</f>
        <v>Baterías de plomo-ácido</v>
      </c>
      <c r="C342" s="32" t="str">
        <f>IFERROR(VLOOKUP("UD",'[1]Informacion '!P:Q,2,FALSE),"")</f>
        <v>Unidad</v>
      </c>
      <c r="D342" s="30">
        <v>1</v>
      </c>
      <c r="E342" s="33">
        <v>13500</v>
      </c>
      <c r="F342" s="34">
        <f ca="1">INDIRECT(ADDRESS(ROW(),COLUMN()-2,4))*INDIRECT(ADDRESS(ROW(),COLUMN()-1,4))</f>
        <v>13500</v>
      </c>
    </row>
    <row r="343" spans="1:6" ht="14.25" customHeight="1" x14ac:dyDescent="0.25">
      <c r="A343" s="30" t="s">
        <v>126</v>
      </c>
      <c r="B343" s="31" t="str">
        <f ca="1">IFERROR(INDEX(UNSPSCDes,MATCH(INDIRECT(ADDRESS(ROW(),COLUMN()-1,4)),UNSPSCCode,0)),IF(INDIRECT(ADDRESS(ROW(),COLUMN()-1,4))="26111703","Baterías para vehículos",""))</f>
        <v>Baterías para vehículos</v>
      </c>
      <c r="C343" s="32" t="str">
        <f>IFERROR(VLOOKUP("UD",'[1]Informacion '!P:Q,2,FALSE),"")</f>
        <v>Unidad</v>
      </c>
      <c r="D343" s="30">
        <v>10</v>
      </c>
      <c r="E343" s="33">
        <v>1500</v>
      </c>
      <c r="F343" s="34">
        <f ca="1">INDIRECT(ADDRESS(ROW(),COLUMN()-2,4))*INDIRECT(ADDRESS(ROW(),COLUMN()-1,4))</f>
        <v>15000</v>
      </c>
    </row>
    <row r="344" spans="1:6" ht="14.25" customHeight="1" x14ac:dyDescent="0.25">
      <c r="E344" s="35" t="s">
        <v>47</v>
      </c>
      <c r="F344" s="36">
        <f ca="1">SUM(Table28[MONTO TOTAL ESTIMADO])</f>
        <v>38500</v>
      </c>
    </row>
    <row r="346" spans="1:6" ht="33.950000000000003" customHeight="1" thickBot="1" x14ac:dyDescent="0.3">
      <c r="A346" s="21" t="s">
        <v>19</v>
      </c>
      <c r="B346" s="21" t="s">
        <v>20</v>
      </c>
      <c r="C346" s="21" t="s">
        <v>21</v>
      </c>
      <c r="D346" s="21" t="s">
        <v>22</v>
      </c>
      <c r="E346" s="21" t="s">
        <v>23</v>
      </c>
      <c r="F346" s="21" t="s">
        <v>24</v>
      </c>
    </row>
    <row r="347" spans="1:6" ht="14.25" customHeight="1" thickBot="1" x14ac:dyDescent="0.3">
      <c r="A347" s="23" t="s">
        <v>127</v>
      </c>
      <c r="B347" s="23" t="s">
        <v>127</v>
      </c>
      <c r="C347" s="23" t="s">
        <v>26</v>
      </c>
      <c r="D347" s="23" t="s">
        <v>27</v>
      </c>
      <c r="E347" s="23" t="s">
        <v>49</v>
      </c>
      <c r="F347" s="23"/>
    </row>
    <row r="348" spans="1:6" ht="14.25" customHeight="1" thickBot="1" x14ac:dyDescent="0.3">
      <c r="A348" s="39" t="s">
        <v>29</v>
      </c>
      <c r="B348" s="24" t="s">
        <v>30</v>
      </c>
      <c r="C348" s="25">
        <v>45761</v>
      </c>
      <c r="D348" s="39" t="s">
        <v>31</v>
      </c>
      <c r="E348" s="26" t="s">
        <v>32</v>
      </c>
      <c r="F348" s="27" t="s">
        <v>33</v>
      </c>
    </row>
    <row r="349" spans="1:6" ht="14.25" customHeight="1" thickBot="1" x14ac:dyDescent="0.3">
      <c r="A349" s="40"/>
      <c r="B349" s="24" t="s">
        <v>34</v>
      </c>
      <c r="C349" s="28">
        <f>IF(C348="","",IF(AND(MONTH(C348)&gt;=1,MONTH(C348)&lt;=3),1,IF(AND(MONTH(C348)&gt;=4,MONTH(C348)&lt;=6),2,IF(AND(MONTH(C348)&gt;=7,MONTH(C348)&lt;=9),3,4))))</f>
        <v>2</v>
      </c>
      <c r="D349" s="40"/>
      <c r="E349" s="26" t="s">
        <v>35</v>
      </c>
      <c r="F349" s="27" t="s">
        <v>36</v>
      </c>
    </row>
    <row r="350" spans="1:6" ht="14.25" customHeight="1" thickBot="1" x14ac:dyDescent="0.3">
      <c r="A350" s="40"/>
      <c r="B350" s="24" t="s">
        <v>37</v>
      </c>
      <c r="C350" s="25">
        <v>45768</v>
      </c>
      <c r="D350" s="40"/>
      <c r="E350" s="26" t="s">
        <v>38</v>
      </c>
      <c r="F350" s="27" t="s">
        <v>36</v>
      </c>
    </row>
    <row r="351" spans="1:6" ht="14.25" customHeight="1" thickBot="1" x14ac:dyDescent="0.3">
      <c r="A351" s="40"/>
      <c r="B351" s="24" t="s">
        <v>34</v>
      </c>
      <c r="C351" s="28">
        <f>IF(C350="","",IF(AND(MONTH(C350)&gt;=1,MONTH(C350)&lt;=3),1,IF(AND(MONTH(C350)&gt;=4,MONTH(C350)&lt;=6),2,IF(AND(MONTH(C350)&gt;=7,MONTH(C350)&lt;=9),3,4))))</f>
        <v>2</v>
      </c>
      <c r="D351" s="40"/>
      <c r="E351" s="26" t="s">
        <v>39</v>
      </c>
      <c r="F351" s="27"/>
    </row>
    <row r="353" spans="1:6" ht="14.25" customHeight="1" thickBot="1" x14ac:dyDescent="0.3">
      <c r="A353" s="29" t="s">
        <v>40</v>
      </c>
      <c r="B353" s="29" t="s">
        <v>41</v>
      </c>
      <c r="C353" s="29" t="s">
        <v>42</v>
      </c>
      <c r="D353" s="29" t="s">
        <v>43</v>
      </c>
      <c r="E353" s="29" t="s">
        <v>44</v>
      </c>
      <c r="F353" s="29" t="s">
        <v>45</v>
      </c>
    </row>
    <row r="354" spans="1:6" ht="14.25" customHeight="1" x14ac:dyDescent="0.25">
      <c r="A354" s="30" t="s">
        <v>63</v>
      </c>
      <c r="B354" s="31" t="str">
        <f ca="1">IFERROR(INDEX(UNSPSCDes,MATCH(INDIRECT(ADDRESS(ROW(),COLUMN()-1,4)),UNSPSCCode,0)),IF(INDIRECT(ADDRESS(ROW(),COLUMN()-1,4))="90101604","Servicios de cáterin en la obra o lugar de trabajo",""))</f>
        <v>Servicios de cáterin en la obra o lugar de trabajo</v>
      </c>
      <c r="C354" s="32" t="str">
        <f>IFERROR(VLOOKUP("UD",'[1]Informacion '!P:Q,2,FALSE),"")</f>
        <v>Unidad</v>
      </c>
      <c r="D354" s="30">
        <v>1</v>
      </c>
      <c r="E354" s="33">
        <v>150000</v>
      </c>
      <c r="F354" s="34">
        <f ca="1">INDIRECT(ADDRESS(ROW(),COLUMN()-2,4))*INDIRECT(ADDRESS(ROW(),COLUMN()-1,4))</f>
        <v>150000</v>
      </c>
    </row>
    <row r="355" spans="1:6" ht="14.25" customHeight="1" x14ac:dyDescent="0.25">
      <c r="E355" s="35" t="s">
        <v>47</v>
      </c>
      <c r="F355" s="36">
        <f ca="1">SUM(Table29[MONTO TOTAL ESTIMADO])</f>
        <v>150000</v>
      </c>
    </row>
    <row r="357" spans="1:6" ht="33.950000000000003" customHeight="1" thickBot="1" x14ac:dyDescent="0.3">
      <c r="A357" s="21" t="s">
        <v>19</v>
      </c>
      <c r="B357" s="21" t="s">
        <v>20</v>
      </c>
      <c r="C357" s="21" t="s">
        <v>21</v>
      </c>
      <c r="D357" s="21" t="s">
        <v>22</v>
      </c>
      <c r="E357" s="21" t="s">
        <v>23</v>
      </c>
      <c r="F357" s="21" t="s">
        <v>24</v>
      </c>
    </row>
    <row r="358" spans="1:6" ht="14.25" customHeight="1" thickBot="1" x14ac:dyDescent="0.3">
      <c r="A358" s="23" t="s">
        <v>128</v>
      </c>
      <c r="B358" s="23" t="s">
        <v>128</v>
      </c>
      <c r="C358" s="23" t="s">
        <v>55</v>
      </c>
      <c r="D358" s="23" t="s">
        <v>27</v>
      </c>
      <c r="E358" s="23" t="s">
        <v>52</v>
      </c>
      <c r="F358" s="23"/>
    </row>
    <row r="359" spans="1:6" ht="14.25" customHeight="1" thickBot="1" x14ac:dyDescent="0.3">
      <c r="A359" s="39" t="s">
        <v>29</v>
      </c>
      <c r="B359" s="24" t="s">
        <v>30</v>
      </c>
      <c r="C359" s="25">
        <v>45789</v>
      </c>
      <c r="D359" s="39" t="s">
        <v>31</v>
      </c>
      <c r="E359" s="26" t="s">
        <v>32</v>
      </c>
      <c r="F359" s="27" t="s">
        <v>33</v>
      </c>
    </row>
    <row r="360" spans="1:6" ht="14.25" customHeight="1" thickBot="1" x14ac:dyDescent="0.3">
      <c r="A360" s="40"/>
      <c r="B360" s="24" t="s">
        <v>34</v>
      </c>
      <c r="C360" s="28">
        <f>IF(C359="","",IF(AND(MONTH(C359)&gt;=1,MONTH(C359)&lt;=3),1,IF(AND(MONTH(C359)&gt;=4,MONTH(C359)&lt;=6),2,IF(AND(MONTH(C359)&gt;=7,MONTH(C359)&lt;=9),3,4))))</f>
        <v>2</v>
      </c>
      <c r="D360" s="40"/>
      <c r="E360" s="26" t="s">
        <v>35</v>
      </c>
      <c r="F360" s="27" t="s">
        <v>36</v>
      </c>
    </row>
    <row r="361" spans="1:6" ht="14.25" customHeight="1" thickBot="1" x14ac:dyDescent="0.3">
      <c r="A361" s="40"/>
      <c r="B361" s="24" t="s">
        <v>37</v>
      </c>
      <c r="C361" s="25">
        <v>45796</v>
      </c>
      <c r="D361" s="40"/>
      <c r="E361" s="26" t="s">
        <v>38</v>
      </c>
      <c r="F361" s="27" t="s">
        <v>36</v>
      </c>
    </row>
    <row r="362" spans="1:6" ht="14.25" customHeight="1" thickBot="1" x14ac:dyDescent="0.3">
      <c r="A362" s="40"/>
      <c r="B362" s="24" t="s">
        <v>34</v>
      </c>
      <c r="C362" s="28">
        <f>IF(C361="","",IF(AND(MONTH(C361)&gt;=1,MONTH(C361)&lt;=3),1,IF(AND(MONTH(C361)&gt;=4,MONTH(C361)&lt;=6),2,IF(AND(MONTH(C361)&gt;=7,MONTH(C361)&lt;=9),3,4))))</f>
        <v>2</v>
      </c>
      <c r="D362" s="40"/>
      <c r="E362" s="26" t="s">
        <v>39</v>
      </c>
      <c r="F362" s="27"/>
    </row>
    <row r="364" spans="1:6" ht="14.25" customHeight="1" thickBot="1" x14ac:dyDescent="0.3">
      <c r="A364" s="29" t="s">
        <v>40</v>
      </c>
      <c r="B364" s="29" t="s">
        <v>41</v>
      </c>
      <c r="C364" s="29" t="s">
        <v>42</v>
      </c>
      <c r="D364" s="29" t="s">
        <v>43</v>
      </c>
      <c r="E364" s="29" t="s">
        <v>44</v>
      </c>
      <c r="F364" s="29" t="s">
        <v>45</v>
      </c>
    </row>
    <row r="365" spans="1:6" ht="14.25" customHeight="1" x14ac:dyDescent="0.25">
      <c r="A365" s="30" t="s">
        <v>129</v>
      </c>
      <c r="B365" s="31" t="str">
        <f ca="1">IFERROR(INDEX(UNSPSCDes,MATCH(INDIRECT(ADDRESS(ROW(),COLUMN()-1,4)),UNSPSCCode,0)),IF(INDIRECT(ADDRESS(ROW(),COLUMN()-1,4))="52141501","Neveras para uso doméstico",""))</f>
        <v>Neveras para uso doméstico</v>
      </c>
      <c r="C365" s="32" t="str">
        <f>IFERROR(VLOOKUP("UD",'[1]Informacion '!P:Q,2,FALSE),"")</f>
        <v>Unidad</v>
      </c>
      <c r="D365" s="30">
        <v>1</v>
      </c>
      <c r="E365" s="33">
        <v>25000</v>
      </c>
      <c r="F365" s="34">
        <f ca="1">INDIRECT(ADDRESS(ROW(),COLUMN()-2,4))*INDIRECT(ADDRESS(ROW(),COLUMN()-1,4))</f>
        <v>25000</v>
      </c>
    </row>
    <row r="366" spans="1:6" ht="14.25" customHeight="1" x14ac:dyDescent="0.25">
      <c r="E366" s="35" t="s">
        <v>47</v>
      </c>
      <c r="F366" s="36">
        <f ca="1">SUM(Table30[MONTO TOTAL ESTIMADO])</f>
        <v>25000</v>
      </c>
    </row>
    <row r="368" spans="1:6" ht="33.950000000000003" customHeight="1" thickBot="1" x14ac:dyDescent="0.3">
      <c r="A368" s="21" t="s">
        <v>19</v>
      </c>
      <c r="B368" s="21" t="s">
        <v>20</v>
      </c>
      <c r="C368" s="21" t="s">
        <v>21</v>
      </c>
      <c r="D368" s="21" t="s">
        <v>22</v>
      </c>
      <c r="E368" s="21" t="s">
        <v>23</v>
      </c>
      <c r="F368" s="21" t="s">
        <v>24</v>
      </c>
    </row>
    <row r="369" spans="1:6" ht="14.25" customHeight="1" thickBot="1" x14ac:dyDescent="0.3">
      <c r="A369" s="23" t="s">
        <v>130</v>
      </c>
      <c r="B369" s="23" t="s">
        <v>130</v>
      </c>
      <c r="C369" s="23" t="s">
        <v>26</v>
      </c>
      <c r="D369" s="23" t="s">
        <v>62</v>
      </c>
      <c r="E369" s="23" t="s">
        <v>52</v>
      </c>
      <c r="F369" s="23"/>
    </row>
    <row r="370" spans="1:6" ht="14.25" customHeight="1" thickBot="1" x14ac:dyDescent="0.3">
      <c r="A370" s="39" t="s">
        <v>29</v>
      </c>
      <c r="B370" s="24" t="s">
        <v>30</v>
      </c>
      <c r="C370" s="25">
        <v>45789</v>
      </c>
      <c r="D370" s="39" t="s">
        <v>31</v>
      </c>
      <c r="E370" s="26" t="s">
        <v>32</v>
      </c>
      <c r="F370" s="27" t="s">
        <v>33</v>
      </c>
    </row>
    <row r="371" spans="1:6" ht="14.25" customHeight="1" thickBot="1" x14ac:dyDescent="0.3">
      <c r="A371" s="40"/>
      <c r="B371" s="24" t="s">
        <v>34</v>
      </c>
      <c r="C371" s="28">
        <f>IF(C370="","",IF(AND(MONTH(C370)&gt;=1,MONTH(C370)&lt;=3),1,IF(AND(MONTH(C370)&gt;=4,MONTH(C370)&lt;=6),2,IF(AND(MONTH(C370)&gt;=7,MONTH(C370)&lt;=9),3,4))))</f>
        <v>2</v>
      </c>
      <c r="D371" s="40"/>
      <c r="E371" s="26" t="s">
        <v>35</v>
      </c>
      <c r="F371" s="27" t="s">
        <v>36</v>
      </c>
    </row>
    <row r="372" spans="1:6" ht="14.25" customHeight="1" thickBot="1" x14ac:dyDescent="0.3">
      <c r="A372" s="40"/>
      <c r="B372" s="24" t="s">
        <v>37</v>
      </c>
      <c r="C372" s="25">
        <v>45803</v>
      </c>
      <c r="D372" s="40"/>
      <c r="E372" s="26" t="s">
        <v>38</v>
      </c>
      <c r="F372" s="27" t="s">
        <v>36</v>
      </c>
    </row>
    <row r="373" spans="1:6" ht="14.25" customHeight="1" thickBot="1" x14ac:dyDescent="0.3">
      <c r="A373" s="40"/>
      <c r="B373" s="24" t="s">
        <v>34</v>
      </c>
      <c r="C373" s="28">
        <f>IF(C372="","",IF(AND(MONTH(C372)&gt;=1,MONTH(C372)&lt;=3),1,IF(AND(MONTH(C372)&gt;=4,MONTH(C372)&lt;=6),2,IF(AND(MONTH(C372)&gt;=7,MONTH(C372)&lt;=9),3,4))))</f>
        <v>2</v>
      </c>
      <c r="D373" s="40"/>
      <c r="E373" s="26" t="s">
        <v>39</v>
      </c>
      <c r="F373" s="27"/>
    </row>
    <row r="375" spans="1:6" ht="14.25" customHeight="1" thickBot="1" x14ac:dyDescent="0.3">
      <c r="A375" s="29" t="s">
        <v>40</v>
      </c>
      <c r="B375" s="29" t="s">
        <v>41</v>
      </c>
      <c r="C375" s="29" t="s">
        <v>42</v>
      </c>
      <c r="D375" s="29" t="s">
        <v>43</v>
      </c>
      <c r="E375" s="29" t="s">
        <v>44</v>
      </c>
      <c r="F375" s="29" t="s">
        <v>45</v>
      </c>
    </row>
    <row r="376" spans="1:6" ht="14.25" customHeight="1" x14ac:dyDescent="0.25">
      <c r="A376" s="30" t="s">
        <v>131</v>
      </c>
      <c r="B376" s="31"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376" s="32" t="str">
        <f>IFERROR(VLOOKUP("UD",'[1]Informacion '!P:Q,2,FALSE),"")</f>
        <v>Unidad</v>
      </c>
      <c r="D376" s="30">
        <v>1</v>
      </c>
      <c r="E376" s="33">
        <v>200000</v>
      </c>
      <c r="F376" s="34">
        <f ca="1">INDIRECT(ADDRESS(ROW(),COLUMN()-2,4))*INDIRECT(ADDRESS(ROW(),COLUMN()-1,4))</f>
        <v>200000</v>
      </c>
    </row>
    <row r="377" spans="1:6" ht="14.25" customHeight="1" x14ac:dyDescent="0.25">
      <c r="A377" s="30" t="s">
        <v>132</v>
      </c>
      <c r="B377" s="31" t="str">
        <f ca="1">IFERROR(INDEX(UNSPSCDes,MATCH(INDIRECT(ADDRESS(ROW(),COLUMN()-1,4)),UNSPSCCode,0)),IF(INDIRECT(ADDRESS(ROW(),COLUMN()-1,4))="78111808","Alquiler de vehículos",""))</f>
        <v>Alquiler de vehículos</v>
      </c>
      <c r="C377" s="32" t="str">
        <f>IFERROR(VLOOKUP("UD",'[1]Informacion '!P:Q,2,FALSE),"")</f>
        <v>Unidad</v>
      </c>
      <c r="D377" s="30">
        <v>3</v>
      </c>
      <c r="E377" s="33">
        <v>60000</v>
      </c>
      <c r="F377" s="34">
        <f ca="1">INDIRECT(ADDRESS(ROW(),COLUMN()-2,4))*INDIRECT(ADDRESS(ROW(),COLUMN()-1,4))</f>
        <v>180000</v>
      </c>
    </row>
    <row r="378" spans="1:6" ht="14.25" customHeight="1" x14ac:dyDescent="0.25">
      <c r="E378" s="35" t="s">
        <v>47</v>
      </c>
      <c r="F378" s="36">
        <f ca="1">SUM(Table31[MONTO TOTAL ESTIMADO])</f>
        <v>380000</v>
      </c>
    </row>
    <row r="380" spans="1:6" ht="33.950000000000003" customHeight="1" thickBot="1" x14ac:dyDescent="0.3">
      <c r="A380" s="21" t="s">
        <v>19</v>
      </c>
      <c r="B380" s="21" t="s">
        <v>20</v>
      </c>
      <c r="C380" s="21" t="s">
        <v>21</v>
      </c>
      <c r="D380" s="21" t="s">
        <v>22</v>
      </c>
      <c r="E380" s="21" t="s">
        <v>23</v>
      </c>
      <c r="F380" s="21" t="s">
        <v>24</v>
      </c>
    </row>
    <row r="381" spans="1:6" ht="14.25" customHeight="1" thickBot="1" x14ac:dyDescent="0.3">
      <c r="A381" s="23" t="s">
        <v>133</v>
      </c>
      <c r="B381" s="23" t="s">
        <v>134</v>
      </c>
      <c r="C381" s="23" t="s">
        <v>55</v>
      </c>
      <c r="D381" s="23" t="s">
        <v>27</v>
      </c>
      <c r="E381" s="23" t="s">
        <v>49</v>
      </c>
      <c r="F381" s="23"/>
    </row>
    <row r="382" spans="1:6" ht="14.25" customHeight="1" thickBot="1" x14ac:dyDescent="0.3">
      <c r="A382" s="39" t="s">
        <v>29</v>
      </c>
      <c r="B382" s="24" t="s">
        <v>30</v>
      </c>
      <c r="C382" s="25">
        <v>45789</v>
      </c>
      <c r="D382" s="39" t="s">
        <v>31</v>
      </c>
      <c r="E382" s="26" t="s">
        <v>32</v>
      </c>
      <c r="F382" s="27" t="s">
        <v>33</v>
      </c>
    </row>
    <row r="383" spans="1:6" ht="14.25" customHeight="1" thickBot="1" x14ac:dyDescent="0.3">
      <c r="A383" s="40"/>
      <c r="B383" s="24" t="s">
        <v>34</v>
      </c>
      <c r="C383" s="28">
        <f>IF(C382="","",IF(AND(MONTH(C382)&gt;=1,MONTH(C382)&lt;=3),1,IF(AND(MONTH(C382)&gt;=4,MONTH(C382)&lt;=6),2,IF(AND(MONTH(C382)&gt;=7,MONTH(C382)&lt;=9),3,4))))</f>
        <v>2</v>
      </c>
      <c r="D383" s="40"/>
      <c r="E383" s="26" t="s">
        <v>35</v>
      </c>
      <c r="F383" s="27" t="s">
        <v>36</v>
      </c>
    </row>
    <row r="384" spans="1:6" ht="14.25" customHeight="1" thickBot="1" x14ac:dyDescent="0.3">
      <c r="A384" s="40"/>
      <c r="B384" s="24" t="s">
        <v>37</v>
      </c>
      <c r="C384" s="25">
        <v>45796</v>
      </c>
      <c r="D384" s="40"/>
      <c r="E384" s="26" t="s">
        <v>38</v>
      </c>
      <c r="F384" s="27" t="s">
        <v>36</v>
      </c>
    </row>
    <row r="385" spans="1:6" ht="14.25" customHeight="1" thickBot="1" x14ac:dyDescent="0.3">
      <c r="A385" s="40"/>
      <c r="B385" s="24" t="s">
        <v>34</v>
      </c>
      <c r="C385" s="28">
        <f>IF(C384="","",IF(AND(MONTH(C384)&gt;=1,MONTH(C384)&lt;=3),1,IF(AND(MONTH(C384)&gt;=4,MONTH(C384)&lt;=6),2,IF(AND(MONTH(C384)&gt;=7,MONTH(C384)&lt;=9),3,4))))</f>
        <v>2</v>
      </c>
      <c r="D385" s="40"/>
      <c r="E385" s="26" t="s">
        <v>39</v>
      </c>
      <c r="F385" s="27"/>
    </row>
    <row r="387" spans="1:6" ht="14.25" customHeight="1" thickBot="1" x14ac:dyDescent="0.3">
      <c r="A387" s="29" t="s">
        <v>40</v>
      </c>
      <c r="B387" s="29" t="s">
        <v>41</v>
      </c>
      <c r="C387" s="29" t="s">
        <v>42</v>
      </c>
      <c r="D387" s="29" t="s">
        <v>43</v>
      </c>
      <c r="E387" s="29" t="s">
        <v>44</v>
      </c>
      <c r="F387" s="29" t="s">
        <v>45</v>
      </c>
    </row>
    <row r="388" spans="1:6" ht="14.25" customHeight="1" x14ac:dyDescent="0.25">
      <c r="A388" s="30" t="s">
        <v>135</v>
      </c>
      <c r="B388" s="31" t="str">
        <f ca="1">IFERROR(INDEX(UNSPSCDes,MATCH(INDIRECT(ADDRESS(ROW(),COLUMN()-1,4)),UNSPSCCode,0)),IF(INDIRECT(ADDRESS(ROW(),COLUMN()-1,4))="25173817","Cadenas de los engranajes conductores",""))</f>
        <v>Cadenas de los engranajes conductores</v>
      </c>
      <c r="C388" s="32" t="str">
        <f>IFERROR(VLOOKUP("UD",'[1]Informacion '!P:Q,2,FALSE),"")</f>
        <v>Unidad</v>
      </c>
      <c r="D388" s="30">
        <v>3</v>
      </c>
      <c r="E388" s="33">
        <v>600</v>
      </c>
      <c r="F388" s="34">
        <f t="shared" ref="F388:F395" ca="1" si="5">INDIRECT(ADDRESS(ROW(),COLUMN()-2,4))*INDIRECT(ADDRESS(ROW(),COLUMN()-1,4))</f>
        <v>1800</v>
      </c>
    </row>
    <row r="389" spans="1:6" ht="14.25" customHeight="1" x14ac:dyDescent="0.25">
      <c r="A389" s="30" t="s">
        <v>135</v>
      </c>
      <c r="B389" s="31" t="str">
        <f ca="1">IFERROR(INDEX(UNSPSCDes,MATCH(INDIRECT(ADDRESS(ROW(),COLUMN()-1,4)),UNSPSCCode,0)),IF(INDIRECT(ADDRESS(ROW(),COLUMN()-1,4))="25173817","Cadenas de los engranajes conductores",""))</f>
        <v>Cadenas de los engranajes conductores</v>
      </c>
      <c r="C389" s="32" t="str">
        <f>IFERROR(VLOOKUP("UD",'[1]Informacion '!P:Q,2,FALSE),"")</f>
        <v>Unidad</v>
      </c>
      <c r="D389" s="30">
        <v>3</v>
      </c>
      <c r="E389" s="33">
        <v>500</v>
      </c>
      <c r="F389" s="34">
        <f t="shared" ca="1" si="5"/>
        <v>1500</v>
      </c>
    </row>
    <row r="390" spans="1:6" ht="14.25" customHeight="1" x14ac:dyDescent="0.25">
      <c r="A390" s="30" t="s">
        <v>136</v>
      </c>
      <c r="B390" s="31" t="str">
        <f ca="1">IFERROR(INDEX(UNSPSCDes,MATCH(INDIRECT(ADDRESS(ROW(),COLUMN()-1,4)),UNSPSCCode,0)),IF(INDIRECT(ADDRESS(ROW(),COLUMN()-1,4))="25174004","Refrigerante de motor",""))</f>
        <v>Refrigerante de motor</v>
      </c>
      <c r="C390" s="32" t="str">
        <f>IFERROR(VLOOKUP("GAL",'[1]Informacion '!P:Q,2,FALSE),"")</f>
        <v>Galón</v>
      </c>
      <c r="D390" s="30">
        <v>10</v>
      </c>
      <c r="E390" s="33">
        <v>850</v>
      </c>
      <c r="F390" s="34">
        <f t="shared" ca="1" si="5"/>
        <v>8500</v>
      </c>
    </row>
    <row r="391" spans="1:6" ht="14.25" customHeight="1" x14ac:dyDescent="0.25">
      <c r="A391" s="30" t="s">
        <v>137</v>
      </c>
      <c r="B391" s="31" t="str">
        <f ca="1">IFERROR(INDEX(UNSPSCDes,MATCH(INDIRECT(ADDRESS(ROW(),COLUMN()-1,4)),UNSPSCCode,0)),IF(INDIRECT(ADDRESS(ROW(),COLUMN()-1,4))="25174209","Piñones",""))</f>
        <v>Piñones</v>
      </c>
      <c r="C391" s="32" t="str">
        <f>IFERROR(VLOOKUP("UD",'[1]Informacion '!P:Q,2,FALSE),"")</f>
        <v>Unidad</v>
      </c>
      <c r="D391" s="30">
        <v>3</v>
      </c>
      <c r="E391" s="33">
        <v>1300</v>
      </c>
      <c r="F391" s="34">
        <f t="shared" ca="1" si="5"/>
        <v>3900</v>
      </c>
    </row>
    <row r="392" spans="1:6" ht="14.25" customHeight="1" x14ac:dyDescent="0.25">
      <c r="A392" s="30" t="s">
        <v>137</v>
      </c>
      <c r="B392" s="31" t="str">
        <f ca="1">IFERROR(INDEX(UNSPSCDes,MATCH(INDIRECT(ADDRESS(ROW(),COLUMN()-1,4)),UNSPSCCode,0)),IF(INDIRECT(ADDRESS(ROW(),COLUMN()-1,4))="25174209","Piñones",""))</f>
        <v>Piñones</v>
      </c>
      <c r="C392" s="32" t="str">
        <f>IFERROR(VLOOKUP("UD",'[1]Informacion '!P:Q,2,FALSE),"")</f>
        <v>Unidad</v>
      </c>
      <c r="D392" s="30">
        <v>3</v>
      </c>
      <c r="E392" s="33">
        <v>650</v>
      </c>
      <c r="F392" s="34">
        <f t="shared" ca="1" si="5"/>
        <v>1950</v>
      </c>
    </row>
    <row r="393" spans="1:6" ht="14.25" customHeight="1" x14ac:dyDescent="0.25">
      <c r="A393" s="30" t="s">
        <v>138</v>
      </c>
      <c r="B393" s="31" t="str">
        <f ca="1">IFERROR(INDEX(UNSPSCDes,MATCH(INDIRECT(ADDRESS(ROW(),COLUMN()-1,4)),UNSPSCCode,0)),IF(INDIRECT(ADDRESS(ROW(),COLUMN()-1,4))="26101726","Coladores de aceite",""))</f>
        <v>Coladores de aceite</v>
      </c>
      <c r="C393" s="32" t="str">
        <f>IFERROR(VLOOKUP("UD",'[1]Informacion '!P:Q,2,FALSE),"")</f>
        <v>Unidad</v>
      </c>
      <c r="D393" s="30">
        <v>7</v>
      </c>
      <c r="E393" s="33">
        <v>1550</v>
      </c>
      <c r="F393" s="34">
        <f t="shared" ca="1" si="5"/>
        <v>10850</v>
      </c>
    </row>
    <row r="394" spans="1:6" ht="14.25" customHeight="1" x14ac:dyDescent="0.25">
      <c r="A394" s="30" t="s">
        <v>139</v>
      </c>
      <c r="B394" s="31" t="str">
        <f ca="1">IFERROR(INDEX(UNSPSCDes,MATCH(INDIRECT(ADDRESS(ROW(),COLUMN()-1,4)),UNSPSCCode,0)),IF(INDIRECT(ADDRESS(ROW(),COLUMN()-1,4))="26111726","Agua para batería",""))</f>
        <v>Agua para batería</v>
      </c>
      <c r="C394" s="32" t="str">
        <f>IFERROR(VLOOKUP("GAL",'[1]Informacion '!P:Q,2,FALSE),"")</f>
        <v>Galón</v>
      </c>
      <c r="D394" s="30">
        <v>10</v>
      </c>
      <c r="E394" s="33">
        <v>200</v>
      </c>
      <c r="F394" s="34">
        <f t="shared" ca="1" si="5"/>
        <v>2000</v>
      </c>
    </row>
    <row r="395" spans="1:6" ht="14.25" customHeight="1" x14ac:dyDescent="0.25">
      <c r="A395" s="30" t="s">
        <v>140</v>
      </c>
      <c r="B395" s="31" t="str">
        <f ca="1">IFERROR(INDEX(UNSPSCDes,MATCH(INDIRECT(ADDRESS(ROW(),COLUMN()-1,4)),UNSPSCCode,0)),IF(INDIRECT(ADDRESS(ROW(),COLUMN()-1,4))="26121629","Cable de alimentación",""))</f>
        <v>Cable de alimentación</v>
      </c>
      <c r="C395" s="32" t="str">
        <f>IFERROR(VLOOKUP("UD",'[1]Informacion '!P:Q,2,FALSE),"")</f>
        <v>Unidad</v>
      </c>
      <c r="D395" s="30">
        <v>1</v>
      </c>
      <c r="E395" s="33">
        <v>1500</v>
      </c>
      <c r="F395" s="34">
        <f t="shared" ca="1" si="5"/>
        <v>1500</v>
      </c>
    </row>
    <row r="396" spans="1:6" ht="14.25" customHeight="1" x14ac:dyDescent="0.25">
      <c r="E396" s="35" t="s">
        <v>47</v>
      </c>
      <c r="F396" s="36">
        <f ca="1">SUM(Table32[MONTO TOTAL ESTIMADO])</f>
        <v>32000</v>
      </c>
    </row>
    <row r="398" spans="1:6" ht="33.950000000000003" customHeight="1" thickBot="1" x14ac:dyDescent="0.3">
      <c r="A398" s="21" t="s">
        <v>19</v>
      </c>
      <c r="B398" s="21" t="s">
        <v>20</v>
      </c>
      <c r="C398" s="21" t="s">
        <v>21</v>
      </c>
      <c r="D398" s="21" t="s">
        <v>22</v>
      </c>
      <c r="E398" s="21" t="s">
        <v>23</v>
      </c>
      <c r="F398" s="21" t="s">
        <v>24</v>
      </c>
    </row>
    <row r="399" spans="1:6" ht="14.25" customHeight="1" thickBot="1" x14ac:dyDescent="0.3">
      <c r="A399" s="23" t="s">
        <v>141</v>
      </c>
      <c r="B399" s="23" t="s">
        <v>141</v>
      </c>
      <c r="C399" s="23" t="s">
        <v>55</v>
      </c>
      <c r="D399" s="23" t="s">
        <v>27</v>
      </c>
      <c r="E399" s="23" t="s">
        <v>28</v>
      </c>
      <c r="F399" s="23"/>
    </row>
    <row r="400" spans="1:6" ht="14.25" customHeight="1" thickBot="1" x14ac:dyDescent="0.3">
      <c r="A400" s="39" t="s">
        <v>29</v>
      </c>
      <c r="B400" s="24" t="s">
        <v>30</v>
      </c>
      <c r="C400" s="25">
        <v>45761</v>
      </c>
      <c r="D400" s="39" t="s">
        <v>31</v>
      </c>
      <c r="E400" s="26" t="s">
        <v>32</v>
      </c>
      <c r="F400" s="27" t="s">
        <v>33</v>
      </c>
    </row>
    <row r="401" spans="1:6" ht="14.25" customHeight="1" thickBot="1" x14ac:dyDescent="0.3">
      <c r="A401" s="40"/>
      <c r="B401" s="24" t="s">
        <v>34</v>
      </c>
      <c r="C401" s="28">
        <f>IF(C400="","",IF(AND(MONTH(C400)&gt;=1,MONTH(C400)&lt;=3),1,IF(AND(MONTH(C400)&gt;=4,MONTH(C400)&lt;=6),2,IF(AND(MONTH(C400)&gt;=7,MONTH(C400)&lt;=9),3,4))))</f>
        <v>2</v>
      </c>
      <c r="D401" s="40"/>
      <c r="E401" s="26" t="s">
        <v>35</v>
      </c>
      <c r="F401" s="27" t="s">
        <v>36</v>
      </c>
    </row>
    <row r="402" spans="1:6" ht="14.25" customHeight="1" thickBot="1" x14ac:dyDescent="0.3">
      <c r="A402" s="40"/>
      <c r="B402" s="24" t="s">
        <v>37</v>
      </c>
      <c r="C402" s="25">
        <v>45765</v>
      </c>
      <c r="D402" s="40"/>
      <c r="E402" s="26" t="s">
        <v>38</v>
      </c>
      <c r="F402" s="27" t="s">
        <v>36</v>
      </c>
    </row>
    <row r="403" spans="1:6" ht="14.25" customHeight="1" thickBot="1" x14ac:dyDescent="0.3">
      <c r="A403" s="40"/>
      <c r="B403" s="24" t="s">
        <v>34</v>
      </c>
      <c r="C403" s="28">
        <f>IF(C402="","",IF(AND(MONTH(C402)&gt;=1,MONTH(C402)&lt;=3),1,IF(AND(MONTH(C402)&gt;=4,MONTH(C402)&lt;=6),2,IF(AND(MONTH(C402)&gt;=7,MONTH(C402)&lt;=9),3,4))))</f>
        <v>2</v>
      </c>
      <c r="D403" s="40"/>
      <c r="E403" s="26" t="s">
        <v>39</v>
      </c>
      <c r="F403" s="27"/>
    </row>
    <row r="405" spans="1:6" ht="14.25" customHeight="1" thickBot="1" x14ac:dyDescent="0.3">
      <c r="A405" s="29" t="s">
        <v>40</v>
      </c>
      <c r="B405" s="29" t="s">
        <v>41</v>
      </c>
      <c r="C405" s="29" t="s">
        <v>42</v>
      </c>
      <c r="D405" s="29" t="s">
        <v>43</v>
      </c>
      <c r="E405" s="29" t="s">
        <v>44</v>
      </c>
      <c r="F405" s="29" t="s">
        <v>45</v>
      </c>
    </row>
    <row r="406" spans="1:6" ht="14.25" customHeight="1" x14ac:dyDescent="0.25">
      <c r="A406" s="30" t="s">
        <v>84</v>
      </c>
      <c r="B406" s="31" t="str">
        <f ca="1">IFERROR(INDEX(UNSPSCDes,MATCH(INDIRECT(ADDRESS(ROW(),COLUMN()-1,4)),UNSPSCCode,0)),IF(INDIRECT(ADDRESS(ROW(),COLUMN()-1,4))="14111703","Toallas de papel",""))</f>
        <v>Toallas de papel</v>
      </c>
      <c r="C406" s="32" t="str">
        <f>IFERROR(VLOOKUP("UD",'[1]Informacion '!P:Q,2,FALSE),"")</f>
        <v>Unidad</v>
      </c>
      <c r="D406" s="30">
        <v>25</v>
      </c>
      <c r="E406" s="33">
        <v>750</v>
      </c>
      <c r="F406" s="34">
        <f t="shared" ref="F406:F418" ca="1" si="6">INDIRECT(ADDRESS(ROW(),COLUMN()-2,4))*INDIRECT(ADDRESS(ROW(),COLUMN()-1,4))</f>
        <v>18750</v>
      </c>
    </row>
    <row r="407" spans="1:6" ht="14.25" customHeight="1" x14ac:dyDescent="0.25">
      <c r="A407" s="30" t="s">
        <v>85</v>
      </c>
      <c r="B407" s="31" t="str">
        <f ca="1">IFERROR(INDEX(UNSPSCDes,MATCH(INDIRECT(ADDRESS(ROW(),COLUMN()-1,4)),UNSPSCCode,0)),IF(INDIRECT(ADDRESS(ROW(),COLUMN()-1,4))="47131816","Desodorantes",""))</f>
        <v>Desodorantes</v>
      </c>
      <c r="C407" s="32" t="str">
        <f>IFERROR(VLOOKUP("UD",'[1]Informacion '!P:Q,2,FALSE),"")</f>
        <v>Unidad</v>
      </c>
      <c r="D407" s="30">
        <v>50</v>
      </c>
      <c r="E407" s="33">
        <v>135</v>
      </c>
      <c r="F407" s="34">
        <f t="shared" ca="1" si="6"/>
        <v>6750</v>
      </c>
    </row>
    <row r="408" spans="1:6" ht="14.25" customHeight="1" x14ac:dyDescent="0.25">
      <c r="A408" s="30" t="s">
        <v>88</v>
      </c>
      <c r="B408" s="31" t="str">
        <f ca="1">IFERROR(INDEX(UNSPSCDes,MATCH(INDIRECT(ADDRESS(ROW(),COLUMN()-1,4)),UNSPSCCode,0)),IF(INDIRECT(ADDRESS(ROW(),COLUMN()-1,4))="14111705","Servilletas de papel",""))</f>
        <v>Servilletas de papel</v>
      </c>
      <c r="C408" s="32" t="str">
        <f>IFERROR(VLOOKUP("UD",'[1]Informacion '!P:Q,2,FALSE),"")</f>
        <v>Unidad</v>
      </c>
      <c r="D408" s="30">
        <v>50</v>
      </c>
      <c r="E408" s="33">
        <v>110</v>
      </c>
      <c r="F408" s="34">
        <f t="shared" ca="1" si="6"/>
        <v>5500</v>
      </c>
    </row>
    <row r="409" spans="1:6" ht="14.25" customHeight="1" x14ac:dyDescent="0.25">
      <c r="A409" s="30" t="s">
        <v>142</v>
      </c>
      <c r="B409" s="31" t="str">
        <f ca="1">IFERROR(INDEX(UNSPSCDes,MATCH(INDIRECT(ADDRESS(ROW(),COLUMN()-1,4)),UNSPSCCode,0)),IF(INDIRECT(ADDRESS(ROW(),COLUMN()-1,4))="14111704","Papel higiénico",""))</f>
        <v>Papel higiénico</v>
      </c>
      <c r="C409" s="32" t="str">
        <f>IFERROR(VLOOKUP("UD",'[1]Informacion '!P:Q,2,FALSE),"")</f>
        <v>Unidad</v>
      </c>
      <c r="D409" s="30">
        <v>40</v>
      </c>
      <c r="E409" s="33">
        <v>900</v>
      </c>
      <c r="F409" s="34">
        <f t="shared" ca="1" si="6"/>
        <v>36000</v>
      </c>
    </row>
    <row r="410" spans="1:6" ht="14.25" customHeight="1" x14ac:dyDescent="0.25">
      <c r="A410" s="30" t="s">
        <v>88</v>
      </c>
      <c r="B410" s="31" t="str">
        <f ca="1">IFERROR(INDEX(UNSPSCDes,MATCH(INDIRECT(ADDRESS(ROW(),COLUMN()-1,4)),UNSPSCCode,0)),IF(INDIRECT(ADDRESS(ROW(),COLUMN()-1,4))="14111705","Servilletas de papel",""))</f>
        <v>Servilletas de papel</v>
      </c>
      <c r="C410" s="32" t="str">
        <f>IFERROR(VLOOKUP("UD",'[1]Informacion '!P:Q,2,FALSE),"")</f>
        <v>Unidad</v>
      </c>
      <c r="D410" s="30">
        <v>50</v>
      </c>
      <c r="E410" s="33">
        <v>110</v>
      </c>
      <c r="F410" s="34">
        <f t="shared" ca="1" si="6"/>
        <v>5500</v>
      </c>
    </row>
    <row r="411" spans="1:6" ht="14.25" customHeight="1" x14ac:dyDescent="0.25">
      <c r="A411" s="30" t="s">
        <v>143</v>
      </c>
      <c r="B411" s="31" t="str">
        <f ca="1">IFERROR(INDEX(UNSPSCDes,MATCH(INDIRECT(ADDRESS(ROW(),COLUMN()-1,4)),UNSPSCCode,0)),IF(INDIRECT(ADDRESS(ROW(),COLUMN()-1,4))="47121701","Bolsas de basura",""))</f>
        <v>Bolsas de basura</v>
      </c>
      <c r="C411" s="32" t="str">
        <f>IFERROR(VLOOKUP("PAQ",'[1]Informacion '!P:Q,2,FALSE),"")</f>
        <v>Paquete</v>
      </c>
      <c r="D411" s="30">
        <v>10</v>
      </c>
      <c r="E411" s="33">
        <v>350</v>
      </c>
      <c r="F411" s="34">
        <f t="shared" ca="1" si="6"/>
        <v>3500</v>
      </c>
    </row>
    <row r="412" spans="1:6" ht="14.25" customHeight="1" x14ac:dyDescent="0.25">
      <c r="A412" s="30" t="s">
        <v>143</v>
      </c>
      <c r="B412" s="31" t="str">
        <f ca="1">IFERROR(INDEX(UNSPSCDes,MATCH(INDIRECT(ADDRESS(ROW(),COLUMN()-1,4)),UNSPSCCode,0)),IF(INDIRECT(ADDRESS(ROW(),COLUMN()-1,4))="47121701","Bolsas de basura",""))</f>
        <v>Bolsas de basura</v>
      </c>
      <c r="C412" s="32" t="str">
        <f>IFERROR(VLOOKUP("PAQ",'[1]Informacion '!P:Q,2,FALSE),"")</f>
        <v>Paquete</v>
      </c>
      <c r="D412" s="30">
        <v>10</v>
      </c>
      <c r="E412" s="33">
        <v>260</v>
      </c>
      <c r="F412" s="34">
        <f t="shared" ca="1" si="6"/>
        <v>2600</v>
      </c>
    </row>
    <row r="413" spans="1:6" ht="14.25" customHeight="1" x14ac:dyDescent="0.25">
      <c r="A413" s="30" t="s">
        <v>143</v>
      </c>
      <c r="B413" s="31" t="str">
        <f ca="1">IFERROR(INDEX(UNSPSCDes,MATCH(INDIRECT(ADDRESS(ROW(),COLUMN()-1,4)),UNSPSCCode,0)),IF(INDIRECT(ADDRESS(ROW(),COLUMN()-1,4))="47121701","Bolsas de basura",""))</f>
        <v>Bolsas de basura</v>
      </c>
      <c r="C413" s="32" t="str">
        <f>IFERROR(VLOOKUP("PAQ",'[1]Informacion '!P:Q,2,FALSE),"")</f>
        <v>Paquete</v>
      </c>
      <c r="D413" s="30">
        <v>10</v>
      </c>
      <c r="E413" s="33">
        <v>460</v>
      </c>
      <c r="F413" s="34">
        <f t="shared" ca="1" si="6"/>
        <v>4600</v>
      </c>
    </row>
    <row r="414" spans="1:6" ht="14.25" customHeight="1" x14ac:dyDescent="0.25">
      <c r="A414" s="30" t="s">
        <v>144</v>
      </c>
      <c r="B414" s="31" t="str">
        <f ca="1">IFERROR(INDEX(UNSPSCDes,MATCH(INDIRECT(ADDRESS(ROW(),COLUMN()-1,4)),UNSPSCCode,0)),IF(INDIRECT(ADDRESS(ROW(),COLUMN()-1,4))="53131608","Jabones",""))</f>
        <v>Jabones</v>
      </c>
      <c r="C414" s="32" t="str">
        <f>IFERROR(VLOOKUP("GAL",'[1]Informacion '!P:Q,2,FALSE),"")</f>
        <v>Galón</v>
      </c>
      <c r="D414" s="30">
        <v>10</v>
      </c>
      <c r="E414" s="33">
        <v>180</v>
      </c>
      <c r="F414" s="34">
        <f t="shared" ca="1" si="6"/>
        <v>1800</v>
      </c>
    </row>
    <row r="415" spans="1:6" ht="14.25" customHeight="1" x14ac:dyDescent="0.25">
      <c r="A415" s="30" t="s">
        <v>145</v>
      </c>
      <c r="B415" s="31" t="str">
        <f ca="1">IFERROR(INDEX(UNSPSCDes,MATCH(INDIRECT(ADDRESS(ROW(),COLUMN()-1,4)),UNSPSCCode,0)),IF(INDIRECT(ADDRESS(ROW(),COLUMN()-1,4))="47131811","Productos de lavandería",""))</f>
        <v>Productos de lavandería</v>
      </c>
      <c r="C415" s="32" t="str">
        <f>IFERROR(VLOOKUP("UD",'[1]Informacion '!P:Q,2,FALSE),"")</f>
        <v>Unidad</v>
      </c>
      <c r="D415" s="30">
        <v>50</v>
      </c>
      <c r="E415" s="33">
        <v>75</v>
      </c>
      <c r="F415" s="34">
        <f t="shared" ca="1" si="6"/>
        <v>3750</v>
      </c>
    </row>
    <row r="416" spans="1:6" ht="14.25" customHeight="1" x14ac:dyDescent="0.25">
      <c r="A416" s="30" t="s">
        <v>86</v>
      </c>
      <c r="B416" s="31" t="str">
        <f ca="1">IFERROR(INDEX(UNSPSCDes,MATCH(INDIRECT(ADDRESS(ROW(),COLUMN()-1,4)),UNSPSCCode,0)),IF(INDIRECT(ADDRESS(ROW(),COLUMN()-1,4))="47131803","Desinfectantes para uso doméstico",""))</f>
        <v>Desinfectantes para uso doméstico</v>
      </c>
      <c r="C416" s="32" t="str">
        <f>IFERROR(VLOOKUP("GAL",'[1]Informacion '!P:Q,2,FALSE),"")</f>
        <v>Galón</v>
      </c>
      <c r="D416" s="30">
        <v>30</v>
      </c>
      <c r="E416" s="33">
        <v>79.650000000000006</v>
      </c>
      <c r="F416" s="34">
        <f t="shared" ca="1" si="6"/>
        <v>2389.5</v>
      </c>
    </row>
    <row r="417" spans="1:6" ht="14.25" customHeight="1" x14ac:dyDescent="0.25">
      <c r="A417" s="30" t="s">
        <v>86</v>
      </c>
      <c r="B417" s="31" t="str">
        <f ca="1">IFERROR(INDEX(UNSPSCDes,MATCH(INDIRECT(ADDRESS(ROW(),COLUMN()-1,4)),UNSPSCCode,0)),IF(INDIRECT(ADDRESS(ROW(),COLUMN()-1,4))="47131803","Desinfectantes para uso doméstico",""))</f>
        <v>Desinfectantes para uso doméstico</v>
      </c>
      <c r="C417" s="32" t="str">
        <f>IFERROR(VLOOKUP("GAL",'[1]Informacion '!P:Q,2,FALSE),"")</f>
        <v>Galón</v>
      </c>
      <c r="D417" s="30">
        <v>30</v>
      </c>
      <c r="E417" s="33">
        <v>495</v>
      </c>
      <c r="F417" s="34">
        <f t="shared" ca="1" si="6"/>
        <v>14850</v>
      </c>
    </row>
    <row r="418" spans="1:6" ht="14.25" customHeight="1" x14ac:dyDescent="0.25">
      <c r="A418" s="30" t="s">
        <v>146</v>
      </c>
      <c r="B418" s="31" t="str">
        <f ca="1">IFERROR(INDEX(UNSPSCDes,MATCH(INDIRECT(ADDRESS(ROW(),COLUMN()-1,4)),UNSPSCCode,0)),IF(INDIRECT(ADDRESS(ROW(),COLUMN()-1,4))="12352104","Alcoholes o sus sustitutos",""))</f>
        <v>Alcoholes o sus sustitutos</v>
      </c>
      <c r="C418" s="32" t="str">
        <f>IFERROR(VLOOKUP("GAL",'[1]Informacion '!P:Q,2,FALSE),"")</f>
        <v>Galón</v>
      </c>
      <c r="D418" s="30">
        <v>10</v>
      </c>
      <c r="E418" s="33">
        <v>350</v>
      </c>
      <c r="F418" s="34">
        <f t="shared" ca="1" si="6"/>
        <v>3500</v>
      </c>
    </row>
    <row r="419" spans="1:6" ht="14.25" customHeight="1" x14ac:dyDescent="0.25">
      <c r="E419" s="35" t="s">
        <v>47</v>
      </c>
      <c r="F419" s="36">
        <f ca="1">SUM(Table33[MONTO TOTAL ESTIMADO])</f>
        <v>109489.5</v>
      </c>
    </row>
    <row r="421" spans="1:6" ht="33.950000000000003" customHeight="1" thickBot="1" x14ac:dyDescent="0.3">
      <c r="A421" s="21" t="s">
        <v>19</v>
      </c>
      <c r="B421" s="21" t="s">
        <v>20</v>
      </c>
      <c r="C421" s="21" t="s">
        <v>21</v>
      </c>
      <c r="D421" s="21" t="s">
        <v>22</v>
      </c>
      <c r="E421" s="21" t="s">
        <v>23</v>
      </c>
      <c r="F421" s="21" t="s">
        <v>24</v>
      </c>
    </row>
    <row r="422" spans="1:6" ht="14.25" customHeight="1" thickBot="1" x14ac:dyDescent="0.3">
      <c r="A422" s="23" t="s">
        <v>147</v>
      </c>
      <c r="B422" s="23" t="s">
        <v>148</v>
      </c>
      <c r="C422" s="23" t="s">
        <v>55</v>
      </c>
      <c r="D422" s="23" t="s">
        <v>27</v>
      </c>
      <c r="E422" s="23" t="s">
        <v>49</v>
      </c>
      <c r="F422" s="23"/>
    </row>
    <row r="423" spans="1:6" ht="14.25" customHeight="1" thickBot="1" x14ac:dyDescent="0.3">
      <c r="A423" s="39" t="s">
        <v>29</v>
      </c>
      <c r="B423" s="24" t="s">
        <v>30</v>
      </c>
      <c r="C423" s="25">
        <v>45762</v>
      </c>
      <c r="D423" s="39" t="s">
        <v>31</v>
      </c>
      <c r="E423" s="26" t="s">
        <v>32</v>
      </c>
      <c r="F423" s="27" t="s">
        <v>33</v>
      </c>
    </row>
    <row r="424" spans="1:6" ht="14.25" customHeight="1" thickBot="1" x14ac:dyDescent="0.3">
      <c r="A424" s="40"/>
      <c r="B424" s="24" t="s">
        <v>34</v>
      </c>
      <c r="C424" s="28">
        <f>IF(C423="","",IF(AND(MONTH(C423)&gt;=1,MONTH(C423)&lt;=3),1,IF(AND(MONTH(C423)&gt;=4,MONTH(C423)&lt;=6),2,IF(AND(MONTH(C423)&gt;=7,MONTH(C423)&lt;=9),3,4))))</f>
        <v>2</v>
      </c>
      <c r="D424" s="40"/>
      <c r="E424" s="26" t="s">
        <v>35</v>
      </c>
      <c r="F424" s="27" t="s">
        <v>149</v>
      </c>
    </row>
    <row r="425" spans="1:6" ht="14.25" customHeight="1" thickBot="1" x14ac:dyDescent="0.3">
      <c r="A425" s="40"/>
      <c r="B425" s="24" t="s">
        <v>37</v>
      </c>
      <c r="C425" s="25">
        <v>45777</v>
      </c>
      <c r="D425" s="40"/>
      <c r="E425" s="26" t="s">
        <v>38</v>
      </c>
      <c r="F425" s="27"/>
    </row>
    <row r="426" spans="1:6" ht="14.25" customHeight="1" thickBot="1" x14ac:dyDescent="0.3">
      <c r="A426" s="40"/>
      <c r="B426" s="24" t="s">
        <v>34</v>
      </c>
      <c r="C426" s="28">
        <f>IF(C425="","",IF(AND(MONTH(C425)&gt;=1,MONTH(C425)&lt;=3),1,IF(AND(MONTH(C425)&gt;=4,MONTH(C425)&lt;=6),2,IF(AND(MONTH(C425)&gt;=7,MONTH(C425)&lt;=9),3,4))))</f>
        <v>2</v>
      </c>
      <c r="D426" s="40"/>
      <c r="E426" s="26" t="s">
        <v>39</v>
      </c>
      <c r="F426" s="27"/>
    </row>
    <row r="428" spans="1:6" ht="14.25" customHeight="1" thickBot="1" x14ac:dyDescent="0.3">
      <c r="A428" s="29" t="s">
        <v>40</v>
      </c>
      <c r="B428" s="29" t="s">
        <v>41</v>
      </c>
      <c r="C428" s="29" t="s">
        <v>42</v>
      </c>
      <c r="D428" s="29" t="s">
        <v>43</v>
      </c>
      <c r="E428" s="29" t="s">
        <v>44</v>
      </c>
      <c r="F428" s="29" t="s">
        <v>45</v>
      </c>
    </row>
    <row r="429" spans="1:6" ht="14.25" customHeight="1" x14ac:dyDescent="0.25">
      <c r="A429" s="30" t="s">
        <v>150</v>
      </c>
      <c r="B429" s="31" t="str">
        <f ca="1">IFERROR(INDEX(UNSPSCDes,MATCH(INDIRECT(ADDRESS(ROW(),COLUMN()-1,4)),UNSPSCCode,0)),IF(INDIRECT(ADDRESS(ROW(),COLUMN()-1,4))="50201709","Café instantáneo",""))</f>
        <v>Café instantáneo</v>
      </c>
      <c r="C429" s="32" t="str">
        <f>IFERROR(VLOOKUP("UD",'[1]Informacion '!P:Q,2,FALSE),"")</f>
        <v>Unidad</v>
      </c>
      <c r="D429" s="30">
        <v>20</v>
      </c>
      <c r="E429" s="33">
        <v>6500</v>
      </c>
      <c r="F429" s="34">
        <f ca="1">INDIRECT(ADDRESS(ROW(),COLUMN()-2,4))*INDIRECT(ADDRESS(ROW(),COLUMN()-1,4))</f>
        <v>130000</v>
      </c>
    </row>
    <row r="430" spans="1:6" ht="14.25" customHeight="1" x14ac:dyDescent="0.25">
      <c r="A430" s="30" t="s">
        <v>100</v>
      </c>
      <c r="B430" s="31" t="str">
        <f ca="1">IFERROR(INDEX(UNSPSCDes,MATCH(INDIRECT(ADDRESS(ROW(),COLUMN()-1,4)),UNSPSCCode,0)),IF(INDIRECT(ADDRESS(ROW(),COLUMN()-1,4))="50201711","Té instantáneo",""))</f>
        <v>Té instantáneo</v>
      </c>
      <c r="C430" s="32" t="str">
        <f>IFERROR(VLOOKUP("UD",'[1]Informacion '!P:Q,2,FALSE),"")</f>
        <v>Unidad</v>
      </c>
      <c r="D430" s="30">
        <v>10</v>
      </c>
      <c r="E430" s="33">
        <v>250</v>
      </c>
      <c r="F430" s="34">
        <f ca="1">INDIRECT(ADDRESS(ROW(),COLUMN()-2,4))*INDIRECT(ADDRESS(ROW(),COLUMN()-1,4))</f>
        <v>2500</v>
      </c>
    </row>
    <row r="431" spans="1:6" ht="14.25" customHeight="1" x14ac:dyDescent="0.25">
      <c r="A431" s="30" t="s">
        <v>151</v>
      </c>
      <c r="B431" s="31" t="str">
        <f ca="1">IFERROR(INDEX(UNSPSCDes,MATCH(INDIRECT(ADDRESS(ROW(),COLUMN()-1,4)),UNSPSCCode,0)),IF(INDIRECT(ADDRESS(ROW(),COLUMN()-1,4))="50161509","Azucares naturales o productos endulzantes",""))</f>
        <v>Azucares naturales o productos endulzantes</v>
      </c>
      <c r="C431" s="32" t="str">
        <f>IFERROR(VLOOKUP("UD",'[1]Informacion '!P:Q,2,FALSE),"")</f>
        <v>Unidad</v>
      </c>
      <c r="D431" s="30">
        <v>90</v>
      </c>
      <c r="E431" s="33">
        <v>200</v>
      </c>
      <c r="F431" s="34">
        <f ca="1">INDIRECT(ADDRESS(ROW(),COLUMN()-2,4))*INDIRECT(ADDRESS(ROW(),COLUMN()-1,4))</f>
        <v>18000</v>
      </c>
    </row>
    <row r="432" spans="1:6" ht="14.25" customHeight="1" x14ac:dyDescent="0.25">
      <c r="A432" s="30" t="s">
        <v>101</v>
      </c>
      <c r="B432" s="31" t="str">
        <f ca="1">IFERROR(INDEX(UNSPSCDes,MATCH(INDIRECT(ADDRESS(ROW(),COLUMN()-1,4)),UNSPSCCode,0)),IF(INDIRECT(ADDRESS(ROW(),COLUMN()-1,4))="50201714","Cremas no lácteas",""))</f>
        <v>Cremas no lácteas</v>
      </c>
      <c r="C432" s="32" t="str">
        <f>IFERROR(VLOOKUP("UD",'[1]Informacion '!P:Q,2,FALSE),"")</f>
        <v>Unidad</v>
      </c>
      <c r="D432" s="30">
        <v>30</v>
      </c>
      <c r="E432" s="33">
        <v>250</v>
      </c>
      <c r="F432" s="34">
        <f ca="1">INDIRECT(ADDRESS(ROW(),COLUMN()-2,4))*INDIRECT(ADDRESS(ROW(),COLUMN()-1,4))</f>
        <v>7500</v>
      </c>
    </row>
    <row r="433" spans="1:6" ht="14.25" customHeight="1" x14ac:dyDescent="0.25">
      <c r="E433" s="35" t="s">
        <v>47</v>
      </c>
      <c r="F433" s="36">
        <f ca="1">SUM(Table34[MONTO TOTAL ESTIMADO])</f>
        <v>158000</v>
      </c>
    </row>
    <row r="435" spans="1:6" ht="33.950000000000003" customHeight="1" thickBot="1" x14ac:dyDescent="0.3">
      <c r="A435" s="21" t="s">
        <v>19</v>
      </c>
      <c r="B435" s="21" t="s">
        <v>20</v>
      </c>
      <c r="C435" s="21" t="s">
        <v>21</v>
      </c>
      <c r="D435" s="21" t="s">
        <v>22</v>
      </c>
      <c r="E435" s="21" t="s">
        <v>23</v>
      </c>
      <c r="F435" s="21" t="s">
        <v>24</v>
      </c>
    </row>
    <row r="436" spans="1:6" ht="14.25" customHeight="1" thickBot="1" x14ac:dyDescent="0.3">
      <c r="A436" s="23" t="s">
        <v>152</v>
      </c>
      <c r="B436" s="23" t="s">
        <v>152</v>
      </c>
      <c r="C436" s="23" t="s">
        <v>55</v>
      </c>
      <c r="D436" s="23" t="s">
        <v>27</v>
      </c>
      <c r="E436" s="23" t="s">
        <v>28</v>
      </c>
      <c r="F436" s="23"/>
    </row>
    <row r="437" spans="1:6" ht="14.25" customHeight="1" thickBot="1" x14ac:dyDescent="0.3">
      <c r="A437" s="39" t="s">
        <v>29</v>
      </c>
      <c r="B437" s="24" t="s">
        <v>30</v>
      </c>
      <c r="C437" s="25">
        <v>45762</v>
      </c>
      <c r="D437" s="39" t="s">
        <v>31</v>
      </c>
      <c r="E437" s="26" t="s">
        <v>32</v>
      </c>
      <c r="F437" s="27" t="s">
        <v>33</v>
      </c>
    </row>
    <row r="438" spans="1:6" ht="14.25" customHeight="1" thickBot="1" x14ac:dyDescent="0.3">
      <c r="A438" s="40"/>
      <c r="B438" s="24" t="s">
        <v>34</v>
      </c>
      <c r="C438" s="28">
        <f>IF(C437="","",IF(AND(MONTH(C437)&gt;=1,MONTH(C437)&lt;=3),1,IF(AND(MONTH(C437)&gt;=4,MONTH(C437)&lt;=6),2,IF(AND(MONTH(C437)&gt;=7,MONTH(C437)&lt;=9),3,4))))</f>
        <v>2</v>
      </c>
      <c r="D438" s="40"/>
      <c r="E438" s="26" t="s">
        <v>35</v>
      </c>
      <c r="F438" s="27" t="s">
        <v>36</v>
      </c>
    </row>
    <row r="439" spans="1:6" ht="14.25" customHeight="1" thickBot="1" x14ac:dyDescent="0.3">
      <c r="A439" s="40"/>
      <c r="B439" s="24" t="s">
        <v>37</v>
      </c>
      <c r="C439" s="25">
        <v>45777</v>
      </c>
      <c r="D439" s="40"/>
      <c r="E439" s="26" t="s">
        <v>38</v>
      </c>
      <c r="F439" s="27" t="s">
        <v>36</v>
      </c>
    </row>
    <row r="440" spans="1:6" ht="14.25" customHeight="1" thickBot="1" x14ac:dyDescent="0.3">
      <c r="A440" s="40"/>
      <c r="B440" s="24" t="s">
        <v>34</v>
      </c>
      <c r="C440" s="28">
        <f>IF(C439="","",IF(AND(MONTH(C439)&gt;=1,MONTH(C439)&lt;=3),1,IF(AND(MONTH(C439)&gt;=4,MONTH(C439)&lt;=6),2,IF(AND(MONTH(C439)&gt;=7,MONTH(C439)&lt;=9),3,4))))</f>
        <v>2</v>
      </c>
      <c r="D440" s="40"/>
      <c r="E440" s="26" t="s">
        <v>39</v>
      </c>
      <c r="F440" s="27"/>
    </row>
    <row r="442" spans="1:6" ht="14.25" customHeight="1" thickBot="1" x14ac:dyDescent="0.3">
      <c r="A442" s="29" t="s">
        <v>40</v>
      </c>
      <c r="B442" s="29" t="s">
        <v>41</v>
      </c>
      <c r="C442" s="29" t="s">
        <v>42</v>
      </c>
      <c r="D442" s="29" t="s">
        <v>43</v>
      </c>
      <c r="E442" s="29" t="s">
        <v>44</v>
      </c>
      <c r="F442" s="29" t="s">
        <v>45</v>
      </c>
    </row>
    <row r="443" spans="1:6" ht="14.25" customHeight="1" x14ac:dyDescent="0.25">
      <c r="A443" s="30" t="s">
        <v>153</v>
      </c>
      <c r="B443" s="31" t="str">
        <f ca="1">IFERROR(INDEX(UNSPSCDes,MATCH(INDIRECT(ADDRESS(ROW(),COLUMN()-1,4)),UNSPSCCode,0)),IF(INDIRECT(ADDRESS(ROW(),COLUMN()-1,4))="14111507","Papel para impresora o fotocopiadora",""))</f>
        <v>Papel para impresora o fotocopiadora</v>
      </c>
      <c r="C443" s="32" t="str">
        <f>IFERROR(VLOOKUP("RESMA",'[1]Informacion '!P:Q,2,FALSE),"")</f>
        <v>Resma</v>
      </c>
      <c r="D443" s="30">
        <v>100</v>
      </c>
      <c r="E443" s="33">
        <v>225</v>
      </c>
      <c r="F443" s="34">
        <f ca="1">INDIRECT(ADDRESS(ROW(),COLUMN()-2,4))*INDIRECT(ADDRESS(ROW(),COLUMN()-1,4))</f>
        <v>22500</v>
      </c>
    </row>
    <row r="444" spans="1:6" ht="14.25" customHeight="1" x14ac:dyDescent="0.25">
      <c r="E444" s="35" t="s">
        <v>47</v>
      </c>
      <c r="F444" s="36">
        <f ca="1">SUM(Table35[MONTO TOTAL ESTIMADO])</f>
        <v>22500</v>
      </c>
    </row>
    <row r="446" spans="1:6" ht="33.950000000000003" customHeight="1" thickBot="1" x14ac:dyDescent="0.3">
      <c r="A446" s="21" t="s">
        <v>19</v>
      </c>
      <c r="B446" s="21" t="s">
        <v>20</v>
      </c>
      <c r="C446" s="21" t="s">
        <v>21</v>
      </c>
      <c r="D446" s="21" t="s">
        <v>22</v>
      </c>
      <c r="E446" s="21" t="s">
        <v>23</v>
      </c>
      <c r="F446" s="21" t="s">
        <v>24</v>
      </c>
    </row>
    <row r="447" spans="1:6" ht="14.25" customHeight="1" thickBot="1" x14ac:dyDescent="0.3">
      <c r="A447" s="23" t="s">
        <v>154</v>
      </c>
      <c r="B447" s="23" t="s">
        <v>154</v>
      </c>
      <c r="C447" s="23" t="s">
        <v>55</v>
      </c>
      <c r="D447" s="23" t="s">
        <v>27</v>
      </c>
      <c r="E447" s="23" t="s">
        <v>52</v>
      </c>
      <c r="F447" s="23"/>
    </row>
    <row r="448" spans="1:6" ht="14.25" customHeight="1" thickBot="1" x14ac:dyDescent="0.3">
      <c r="A448" s="39" t="s">
        <v>29</v>
      </c>
      <c r="B448" s="24" t="s">
        <v>30</v>
      </c>
      <c r="C448" s="25">
        <v>45762</v>
      </c>
      <c r="D448" s="39" t="s">
        <v>31</v>
      </c>
      <c r="E448" s="26" t="s">
        <v>32</v>
      </c>
      <c r="F448" s="27" t="s">
        <v>33</v>
      </c>
    </row>
    <row r="449" spans="1:6" ht="14.25" customHeight="1" thickBot="1" x14ac:dyDescent="0.3">
      <c r="A449" s="40"/>
      <c r="B449" s="24" t="s">
        <v>34</v>
      </c>
      <c r="C449" s="28">
        <f>IF(C448="","",IF(AND(MONTH(C448)&gt;=1,MONTH(C448)&lt;=3),1,IF(AND(MONTH(C448)&gt;=4,MONTH(C448)&lt;=6),2,IF(AND(MONTH(C448)&gt;=7,MONTH(C448)&lt;=9),3,4))))</f>
        <v>2</v>
      </c>
      <c r="D449" s="40"/>
      <c r="E449" s="26" t="s">
        <v>35</v>
      </c>
      <c r="F449" s="27" t="s">
        <v>36</v>
      </c>
    </row>
    <row r="450" spans="1:6" ht="14.25" customHeight="1" thickBot="1" x14ac:dyDescent="0.3">
      <c r="A450" s="40"/>
      <c r="B450" s="24" t="s">
        <v>37</v>
      </c>
      <c r="C450" s="25">
        <v>45777</v>
      </c>
      <c r="D450" s="40"/>
      <c r="E450" s="26" t="s">
        <v>38</v>
      </c>
      <c r="F450" s="27" t="s">
        <v>36</v>
      </c>
    </row>
    <row r="451" spans="1:6" ht="14.25" customHeight="1" thickBot="1" x14ac:dyDescent="0.3">
      <c r="A451" s="40"/>
      <c r="B451" s="24" t="s">
        <v>34</v>
      </c>
      <c r="C451" s="28">
        <f>IF(C450="","",IF(AND(MONTH(C450)&gt;=1,MONTH(C450)&lt;=3),1,IF(AND(MONTH(C450)&gt;=4,MONTH(C450)&lt;=6),2,IF(AND(MONTH(C450)&gt;=7,MONTH(C450)&lt;=9),3,4))))</f>
        <v>2</v>
      </c>
      <c r="D451" s="40"/>
      <c r="E451" s="26" t="s">
        <v>39</v>
      </c>
      <c r="F451" s="27"/>
    </row>
    <row r="453" spans="1:6" ht="14.25" customHeight="1" thickBot="1" x14ac:dyDescent="0.3">
      <c r="A453" s="29" t="s">
        <v>40</v>
      </c>
      <c r="B453" s="29" t="s">
        <v>41</v>
      </c>
      <c r="C453" s="29" t="s">
        <v>42</v>
      </c>
      <c r="D453" s="29" t="s">
        <v>43</v>
      </c>
      <c r="E453" s="29" t="s">
        <v>44</v>
      </c>
      <c r="F453" s="29" t="s">
        <v>45</v>
      </c>
    </row>
    <row r="454" spans="1:6" ht="14.25" customHeight="1" x14ac:dyDescent="0.25">
      <c r="A454" s="30" t="s">
        <v>92</v>
      </c>
      <c r="B454" s="31" t="str">
        <f ca="1">IFERROR(INDEX(UNSPSCDes,MATCH(INDIRECT(ADDRESS(ROW(),COLUMN()-1,4)),UNSPSCCode,0)),IF(INDIRECT(ADDRESS(ROW(),COLUMN()-1,4))="52151504","Tazas o vasos o tapas desechables para uso doméstico",""))</f>
        <v>Tazas o vasos o tapas desechables para uso doméstico</v>
      </c>
      <c r="C454" s="32" t="str">
        <f>IFERROR(VLOOKUP("UD",'[1]Informacion '!P:Q,2,FALSE),"")</f>
        <v>Unidad</v>
      </c>
      <c r="D454" s="30">
        <v>100</v>
      </c>
      <c r="E454" s="33">
        <v>80</v>
      </c>
      <c r="F454" s="34">
        <f ca="1">INDIRECT(ADDRESS(ROW(),COLUMN()-2,4))*INDIRECT(ADDRESS(ROW(),COLUMN()-1,4))</f>
        <v>8000</v>
      </c>
    </row>
    <row r="455" spans="1:6" ht="14.25" customHeight="1" x14ac:dyDescent="0.25">
      <c r="A455" s="30" t="s">
        <v>92</v>
      </c>
      <c r="B455" s="31" t="str">
        <f ca="1">IFERROR(INDEX(UNSPSCDes,MATCH(INDIRECT(ADDRESS(ROW(),COLUMN()-1,4)),UNSPSCCode,0)),IF(INDIRECT(ADDRESS(ROW(),COLUMN()-1,4))="52151504","Tazas o vasos o tapas desechables para uso doméstico",""))</f>
        <v>Tazas o vasos o tapas desechables para uso doméstico</v>
      </c>
      <c r="C455" s="32" t="str">
        <f>IFERROR(VLOOKUP("UD",'[1]Informacion '!P:Q,2,FALSE),"")</f>
        <v>Unidad</v>
      </c>
      <c r="D455" s="30">
        <v>100</v>
      </c>
      <c r="E455" s="33">
        <v>90</v>
      </c>
      <c r="F455" s="34">
        <f ca="1">INDIRECT(ADDRESS(ROW(),COLUMN()-2,4))*INDIRECT(ADDRESS(ROW(),COLUMN()-1,4))</f>
        <v>9000</v>
      </c>
    </row>
    <row r="456" spans="1:6" ht="14.25" customHeight="1" x14ac:dyDescent="0.25">
      <c r="E456" s="35" t="s">
        <v>47</v>
      </c>
      <c r="F456" s="36">
        <f ca="1">SUM(Table36[MONTO TOTAL ESTIMADO])</f>
        <v>17000</v>
      </c>
    </row>
    <row r="458" spans="1:6" ht="33.950000000000003" customHeight="1" thickBot="1" x14ac:dyDescent="0.3">
      <c r="A458" s="21" t="s">
        <v>19</v>
      </c>
      <c r="B458" s="21" t="s">
        <v>20</v>
      </c>
      <c r="C458" s="21" t="s">
        <v>21</v>
      </c>
      <c r="D458" s="21" t="s">
        <v>22</v>
      </c>
      <c r="E458" s="21" t="s">
        <v>23</v>
      </c>
      <c r="F458" s="21" t="s">
        <v>24</v>
      </c>
    </row>
    <row r="459" spans="1:6" ht="14.25" customHeight="1" thickBot="1" x14ac:dyDescent="0.3">
      <c r="A459" s="23" t="s">
        <v>155</v>
      </c>
      <c r="B459" s="23" t="s">
        <v>155</v>
      </c>
      <c r="C459" s="23" t="s">
        <v>55</v>
      </c>
      <c r="D459" s="23" t="s">
        <v>27</v>
      </c>
      <c r="E459" s="23" t="s">
        <v>52</v>
      </c>
      <c r="F459" s="23"/>
    </row>
    <row r="460" spans="1:6" ht="14.25" customHeight="1" thickBot="1" x14ac:dyDescent="0.3">
      <c r="A460" s="39" t="s">
        <v>29</v>
      </c>
      <c r="B460" s="24" t="s">
        <v>30</v>
      </c>
      <c r="C460" s="25">
        <v>45761</v>
      </c>
      <c r="D460" s="39" t="s">
        <v>31</v>
      </c>
      <c r="E460" s="26" t="s">
        <v>32</v>
      </c>
      <c r="F460" s="27" t="s">
        <v>33</v>
      </c>
    </row>
    <row r="461" spans="1:6" ht="14.25" customHeight="1" thickBot="1" x14ac:dyDescent="0.3">
      <c r="A461" s="40"/>
      <c r="B461" s="24" t="s">
        <v>34</v>
      </c>
      <c r="C461" s="28">
        <f>IF(C460="","",IF(AND(MONTH(C460)&gt;=1,MONTH(C460)&lt;=3),1,IF(AND(MONTH(C460)&gt;=4,MONTH(C460)&lt;=6),2,IF(AND(MONTH(C460)&gt;=7,MONTH(C460)&lt;=9),3,4))))</f>
        <v>2</v>
      </c>
      <c r="D461" s="40"/>
      <c r="E461" s="26" t="s">
        <v>35</v>
      </c>
      <c r="F461" s="27" t="s">
        <v>36</v>
      </c>
    </row>
    <row r="462" spans="1:6" ht="14.25" customHeight="1" thickBot="1" x14ac:dyDescent="0.3">
      <c r="A462" s="40"/>
      <c r="B462" s="24" t="s">
        <v>37</v>
      </c>
      <c r="C462" s="25">
        <v>45768</v>
      </c>
      <c r="D462" s="40"/>
      <c r="E462" s="26" t="s">
        <v>38</v>
      </c>
      <c r="F462" s="27" t="s">
        <v>36</v>
      </c>
    </row>
    <row r="463" spans="1:6" ht="14.25" customHeight="1" thickBot="1" x14ac:dyDescent="0.3">
      <c r="A463" s="40"/>
      <c r="B463" s="24" t="s">
        <v>34</v>
      </c>
      <c r="C463" s="28">
        <f>IF(C462="","",IF(AND(MONTH(C462)&gt;=1,MONTH(C462)&lt;=3),1,IF(AND(MONTH(C462)&gt;=4,MONTH(C462)&lt;=6),2,IF(AND(MONTH(C462)&gt;=7,MONTH(C462)&lt;=9),3,4))))</f>
        <v>2</v>
      </c>
      <c r="D463" s="40"/>
      <c r="E463" s="26" t="s">
        <v>39</v>
      </c>
      <c r="F463" s="27"/>
    </row>
    <row r="465" spans="1:6" ht="14.25" customHeight="1" thickBot="1" x14ac:dyDescent="0.3">
      <c r="A465" s="29" t="s">
        <v>40</v>
      </c>
      <c r="B465" s="29" t="s">
        <v>41</v>
      </c>
      <c r="C465" s="29" t="s">
        <v>42</v>
      </c>
      <c r="D465" s="29" t="s">
        <v>43</v>
      </c>
      <c r="E465" s="29" t="s">
        <v>44</v>
      </c>
      <c r="F465" s="29" t="s">
        <v>45</v>
      </c>
    </row>
    <row r="466" spans="1:6" ht="14.25" customHeight="1" x14ac:dyDescent="0.25">
      <c r="A466" s="30" t="s">
        <v>156</v>
      </c>
      <c r="B466" s="31" t="str">
        <f ca="1">IFERROR(INDEX(UNSPSCDes,MATCH(INDIRECT(ADDRESS(ROW(),COLUMN()-1,4)),UNSPSCCode,0)),IF(INDIRECT(ADDRESS(ROW(),COLUMN()-1,4))="52101502","Alfombras",""))</f>
        <v>Alfombras</v>
      </c>
      <c r="C466" s="32" t="str">
        <f>IFERROR(VLOOKUP("UD",'[1]Informacion '!P:Q,2,FALSE),"")</f>
        <v>Unidad</v>
      </c>
      <c r="D466" s="30">
        <v>2</v>
      </c>
      <c r="E466" s="33">
        <v>10000</v>
      </c>
      <c r="F466" s="34">
        <f ca="1">INDIRECT(ADDRESS(ROW(),COLUMN()-2,4))*INDIRECT(ADDRESS(ROW(),COLUMN()-1,4))</f>
        <v>20000</v>
      </c>
    </row>
    <row r="467" spans="1:6" ht="14.25" customHeight="1" x14ac:dyDescent="0.25">
      <c r="E467" s="35" t="s">
        <v>47</v>
      </c>
      <c r="F467" s="36">
        <f ca="1">SUM(Table37[MONTO TOTAL ESTIMADO])</f>
        <v>20000</v>
      </c>
    </row>
    <row r="469" spans="1:6" ht="33.950000000000003" customHeight="1" thickBot="1" x14ac:dyDescent="0.3">
      <c r="A469" s="21" t="s">
        <v>19</v>
      </c>
      <c r="B469" s="21" t="s">
        <v>20</v>
      </c>
      <c r="C469" s="21" t="s">
        <v>21</v>
      </c>
      <c r="D469" s="21" t="s">
        <v>22</v>
      </c>
      <c r="E469" s="21" t="s">
        <v>23</v>
      </c>
      <c r="F469" s="21" t="s">
        <v>24</v>
      </c>
    </row>
    <row r="470" spans="1:6" ht="14.25" customHeight="1" thickBot="1" x14ac:dyDescent="0.3">
      <c r="A470" s="23" t="s">
        <v>157</v>
      </c>
      <c r="B470" s="23" t="s">
        <v>157</v>
      </c>
      <c r="C470" s="23" t="s">
        <v>55</v>
      </c>
      <c r="D470" s="23" t="s">
        <v>27</v>
      </c>
      <c r="E470" s="23" t="s">
        <v>52</v>
      </c>
      <c r="F470" s="23"/>
    </row>
    <row r="471" spans="1:6" ht="14.25" customHeight="1" thickBot="1" x14ac:dyDescent="0.3">
      <c r="A471" s="39" t="s">
        <v>29</v>
      </c>
      <c r="B471" s="24" t="s">
        <v>30</v>
      </c>
      <c r="C471" s="25">
        <v>45789</v>
      </c>
      <c r="D471" s="39" t="s">
        <v>31</v>
      </c>
      <c r="E471" s="26" t="s">
        <v>32</v>
      </c>
      <c r="F471" s="27" t="s">
        <v>33</v>
      </c>
    </row>
    <row r="472" spans="1:6" ht="14.25" customHeight="1" thickBot="1" x14ac:dyDescent="0.3">
      <c r="A472" s="40"/>
      <c r="B472" s="24" t="s">
        <v>34</v>
      </c>
      <c r="C472" s="28">
        <f>IF(C471="","",IF(AND(MONTH(C471)&gt;=1,MONTH(C471)&lt;=3),1,IF(AND(MONTH(C471)&gt;=4,MONTH(C471)&lt;=6),2,IF(AND(MONTH(C471)&gt;=7,MONTH(C471)&lt;=9),3,4))))</f>
        <v>2</v>
      </c>
      <c r="D472" s="40"/>
      <c r="E472" s="26" t="s">
        <v>35</v>
      </c>
      <c r="F472" s="27" t="s">
        <v>36</v>
      </c>
    </row>
    <row r="473" spans="1:6" ht="14.25" customHeight="1" thickBot="1" x14ac:dyDescent="0.3">
      <c r="A473" s="40"/>
      <c r="B473" s="24" t="s">
        <v>37</v>
      </c>
      <c r="C473" s="25">
        <v>45796</v>
      </c>
      <c r="D473" s="40"/>
      <c r="E473" s="26" t="s">
        <v>38</v>
      </c>
      <c r="F473" s="27" t="s">
        <v>36</v>
      </c>
    </row>
    <row r="474" spans="1:6" ht="14.25" customHeight="1" thickBot="1" x14ac:dyDescent="0.3">
      <c r="A474" s="40"/>
      <c r="B474" s="24" t="s">
        <v>34</v>
      </c>
      <c r="C474" s="28">
        <f>IF(C473="","",IF(AND(MONTH(C473)&gt;=1,MONTH(C473)&lt;=3),1,IF(AND(MONTH(C473)&gt;=4,MONTH(C473)&lt;=6),2,IF(AND(MONTH(C473)&gt;=7,MONTH(C473)&lt;=9),3,4))))</f>
        <v>2</v>
      </c>
      <c r="D474" s="40"/>
      <c r="E474" s="26" t="s">
        <v>39</v>
      </c>
      <c r="F474" s="27"/>
    </row>
    <row r="476" spans="1:6" ht="14.25" customHeight="1" thickBot="1" x14ac:dyDescent="0.3">
      <c r="A476" s="29" t="s">
        <v>40</v>
      </c>
      <c r="B476" s="29" t="s">
        <v>41</v>
      </c>
      <c r="C476" s="29" t="s">
        <v>42</v>
      </c>
      <c r="D476" s="29" t="s">
        <v>43</v>
      </c>
      <c r="E476" s="29" t="s">
        <v>44</v>
      </c>
      <c r="F476" s="29" t="s">
        <v>45</v>
      </c>
    </row>
    <row r="477" spans="1:6" ht="14.25" customHeight="1" x14ac:dyDescent="0.25">
      <c r="A477" s="30" t="s">
        <v>158</v>
      </c>
      <c r="B477" s="31" t="str">
        <f ca="1">IFERROR(INDEX(UNSPSCDes,MATCH(INDIRECT(ADDRESS(ROW(),COLUMN()-1,4)),UNSPSCCode,0)),IF(INDIRECT(ADDRESS(ROW(),COLUMN()-1,4))="30171705","Vidrio laminado",""))</f>
        <v>Vidrio laminado</v>
      </c>
      <c r="C477" s="32" t="str">
        <f>IFERROR(VLOOKUP("UD",'[1]Informacion '!P:Q,2,FALSE),"")</f>
        <v>Unidad</v>
      </c>
      <c r="D477" s="30">
        <v>1</v>
      </c>
      <c r="E477" s="33">
        <v>50000</v>
      </c>
      <c r="F477" s="34">
        <f ca="1">INDIRECT(ADDRESS(ROW(),COLUMN()-2,4))*INDIRECT(ADDRESS(ROW(),COLUMN()-1,4))</f>
        <v>50000</v>
      </c>
    </row>
    <row r="478" spans="1:6" ht="14.25" customHeight="1" x14ac:dyDescent="0.25">
      <c r="E478" s="35" t="s">
        <v>47</v>
      </c>
      <c r="F478" s="36">
        <f ca="1">SUM(Table38[MONTO TOTAL ESTIMADO])</f>
        <v>50000</v>
      </c>
    </row>
    <row r="480" spans="1:6" ht="33.950000000000003" customHeight="1" thickBot="1" x14ac:dyDescent="0.3">
      <c r="A480" s="21" t="s">
        <v>19</v>
      </c>
      <c r="B480" s="21" t="s">
        <v>20</v>
      </c>
      <c r="C480" s="21" t="s">
        <v>21</v>
      </c>
      <c r="D480" s="21" t="s">
        <v>22</v>
      </c>
      <c r="E480" s="21" t="s">
        <v>23</v>
      </c>
      <c r="F480" s="21" t="s">
        <v>24</v>
      </c>
    </row>
    <row r="481" spans="1:6" ht="14.25" customHeight="1" thickBot="1" x14ac:dyDescent="0.3">
      <c r="A481" s="23" t="s">
        <v>159</v>
      </c>
      <c r="B481" s="23" t="s">
        <v>159</v>
      </c>
      <c r="C481" s="23" t="s">
        <v>26</v>
      </c>
      <c r="D481" s="23" t="s">
        <v>27</v>
      </c>
      <c r="E481" s="23" t="s">
        <v>49</v>
      </c>
      <c r="F481" s="23"/>
    </row>
    <row r="482" spans="1:6" ht="14.25" customHeight="1" thickBot="1" x14ac:dyDescent="0.3">
      <c r="A482" s="39" t="s">
        <v>29</v>
      </c>
      <c r="B482" s="24" t="s">
        <v>30</v>
      </c>
      <c r="C482" s="25">
        <v>45691</v>
      </c>
      <c r="D482" s="39" t="s">
        <v>31</v>
      </c>
      <c r="E482" s="26" t="s">
        <v>32</v>
      </c>
      <c r="F482" s="27" t="s">
        <v>33</v>
      </c>
    </row>
    <row r="483" spans="1:6" ht="14.25" customHeight="1" thickBot="1" x14ac:dyDescent="0.3">
      <c r="A483" s="40"/>
      <c r="B483" s="24" t="s">
        <v>34</v>
      </c>
      <c r="C483" s="28">
        <f>IF(C482="","",IF(AND(MONTH(C482)&gt;=1,MONTH(C482)&lt;=3),1,IF(AND(MONTH(C482)&gt;=4,MONTH(C482)&lt;=6),2,IF(AND(MONTH(C482)&gt;=7,MONTH(C482)&lt;=9),3,4))))</f>
        <v>1</v>
      </c>
      <c r="D483" s="40"/>
      <c r="E483" s="26" t="s">
        <v>35</v>
      </c>
      <c r="F483" s="27" t="s">
        <v>36</v>
      </c>
    </row>
    <row r="484" spans="1:6" ht="14.25" customHeight="1" thickBot="1" x14ac:dyDescent="0.3">
      <c r="A484" s="40"/>
      <c r="B484" s="24" t="s">
        <v>37</v>
      </c>
      <c r="C484" s="25">
        <v>45705</v>
      </c>
      <c r="D484" s="40"/>
      <c r="E484" s="26" t="s">
        <v>38</v>
      </c>
      <c r="F484" s="27" t="s">
        <v>36</v>
      </c>
    </row>
    <row r="485" spans="1:6" ht="14.25" customHeight="1" thickBot="1" x14ac:dyDescent="0.3">
      <c r="A485" s="40"/>
      <c r="B485" s="24" t="s">
        <v>34</v>
      </c>
      <c r="C485" s="28">
        <f>IF(C484="","",IF(AND(MONTH(C484)&gt;=1,MONTH(C484)&lt;=3),1,IF(AND(MONTH(C484)&gt;=4,MONTH(C484)&lt;=6),2,IF(AND(MONTH(C484)&gt;=7,MONTH(C484)&lt;=9),3,4))))</f>
        <v>1</v>
      </c>
      <c r="D485" s="40"/>
      <c r="E485" s="26" t="s">
        <v>39</v>
      </c>
      <c r="F485" s="27"/>
    </row>
    <row r="487" spans="1:6" ht="14.25" customHeight="1" thickBot="1" x14ac:dyDescent="0.3">
      <c r="A487" s="29" t="s">
        <v>40</v>
      </c>
      <c r="B487" s="29" t="s">
        <v>41</v>
      </c>
      <c r="C487" s="29" t="s">
        <v>42</v>
      </c>
      <c r="D487" s="29" t="s">
        <v>43</v>
      </c>
      <c r="E487" s="29" t="s">
        <v>44</v>
      </c>
      <c r="F487" s="29" t="s">
        <v>45</v>
      </c>
    </row>
    <row r="488" spans="1:6" ht="14.25" customHeight="1" x14ac:dyDescent="0.25">
      <c r="A488" s="30" t="s">
        <v>77</v>
      </c>
      <c r="B488" s="31" t="str">
        <f ca="1">IFERROR(INDEX(UNSPSCDes,MATCH(INDIRECT(ADDRESS(ROW(),COLUMN()-1,4)),UNSPSCCode,0)),IF(INDIRECT(ADDRESS(ROW(),COLUMN()-1,4))="72102103","Servicios de exterminación o fumigación",""))</f>
        <v>Servicios de exterminación o fumigación</v>
      </c>
      <c r="C488" s="32" t="str">
        <f>IFERROR(VLOOKUP("UD",'[1]Informacion '!P:Q,2,FALSE),"")</f>
        <v>Unidad</v>
      </c>
      <c r="D488" s="30">
        <v>1</v>
      </c>
      <c r="E488" s="33">
        <v>50000</v>
      </c>
      <c r="F488" s="34">
        <f ca="1">INDIRECT(ADDRESS(ROW(),COLUMN()-2,4))*INDIRECT(ADDRESS(ROW(),COLUMN()-1,4))</f>
        <v>50000</v>
      </c>
    </row>
    <row r="489" spans="1:6" ht="14.25" customHeight="1" x14ac:dyDescent="0.25">
      <c r="E489" s="35" t="s">
        <v>47</v>
      </c>
      <c r="F489" s="36">
        <f ca="1">SUM(Table39[MONTO TOTAL ESTIMADO])</f>
        <v>50000</v>
      </c>
    </row>
    <row r="491" spans="1:6" ht="33.950000000000003" customHeight="1" thickBot="1" x14ac:dyDescent="0.3">
      <c r="A491" s="21" t="s">
        <v>19</v>
      </c>
      <c r="B491" s="21" t="s">
        <v>20</v>
      </c>
      <c r="C491" s="21" t="s">
        <v>21</v>
      </c>
      <c r="D491" s="21" t="s">
        <v>22</v>
      </c>
      <c r="E491" s="21" t="s">
        <v>23</v>
      </c>
      <c r="F491" s="21" t="s">
        <v>24</v>
      </c>
    </row>
    <row r="492" spans="1:6" ht="14.25" customHeight="1" thickBot="1" x14ac:dyDescent="0.3">
      <c r="A492" s="23" t="s">
        <v>160</v>
      </c>
      <c r="B492" s="23" t="s">
        <v>160</v>
      </c>
      <c r="C492" s="23" t="s">
        <v>26</v>
      </c>
      <c r="D492" s="23" t="s">
        <v>62</v>
      </c>
      <c r="E492" s="23" t="s">
        <v>49</v>
      </c>
      <c r="F492" s="23"/>
    </row>
    <row r="493" spans="1:6" ht="14.25" customHeight="1" thickBot="1" x14ac:dyDescent="0.3">
      <c r="A493" s="39" t="s">
        <v>29</v>
      </c>
      <c r="B493" s="24" t="s">
        <v>30</v>
      </c>
      <c r="C493" s="25">
        <v>45691</v>
      </c>
      <c r="D493" s="39" t="s">
        <v>31</v>
      </c>
      <c r="E493" s="26" t="s">
        <v>32</v>
      </c>
      <c r="F493" s="27" t="s">
        <v>33</v>
      </c>
    </row>
    <row r="494" spans="1:6" ht="14.25" customHeight="1" thickBot="1" x14ac:dyDescent="0.3">
      <c r="A494" s="40"/>
      <c r="B494" s="24" t="s">
        <v>34</v>
      </c>
      <c r="C494" s="28">
        <f>IF(C493="","",IF(AND(MONTH(C493)&gt;=1,MONTH(C493)&lt;=3),1,IF(AND(MONTH(C493)&gt;=4,MONTH(C493)&lt;=6),2,IF(AND(MONTH(C493)&gt;=7,MONTH(C493)&lt;=9),3,4))))</f>
        <v>1</v>
      </c>
      <c r="D494" s="40"/>
      <c r="E494" s="26" t="s">
        <v>35</v>
      </c>
      <c r="F494" s="27" t="s">
        <v>36</v>
      </c>
    </row>
    <row r="495" spans="1:6" ht="14.25" customHeight="1" thickBot="1" x14ac:dyDescent="0.3">
      <c r="A495" s="40"/>
      <c r="B495" s="24" t="s">
        <v>37</v>
      </c>
      <c r="C495" s="25">
        <v>45705</v>
      </c>
      <c r="D495" s="40"/>
      <c r="E495" s="26" t="s">
        <v>38</v>
      </c>
      <c r="F495" s="27" t="s">
        <v>36</v>
      </c>
    </row>
    <row r="496" spans="1:6" ht="14.25" customHeight="1" thickBot="1" x14ac:dyDescent="0.3">
      <c r="A496" s="40"/>
      <c r="B496" s="24" t="s">
        <v>34</v>
      </c>
      <c r="C496" s="28">
        <f>IF(C495="","",IF(AND(MONTH(C495)&gt;=1,MONTH(C495)&lt;=3),1,IF(AND(MONTH(C495)&gt;=4,MONTH(C495)&lt;=6),2,IF(AND(MONTH(C495)&gt;=7,MONTH(C495)&lt;=9),3,4))))</f>
        <v>1</v>
      </c>
      <c r="D496" s="40"/>
      <c r="E496" s="26" t="s">
        <v>39</v>
      </c>
      <c r="F496" s="27"/>
    </row>
    <row r="498" spans="1:6" ht="14.25" customHeight="1" thickBot="1" x14ac:dyDescent="0.3">
      <c r="A498" s="29" t="s">
        <v>40</v>
      </c>
      <c r="B498" s="29" t="s">
        <v>41</v>
      </c>
      <c r="C498" s="29" t="s">
        <v>42</v>
      </c>
      <c r="D498" s="29" t="s">
        <v>43</v>
      </c>
      <c r="E498" s="29" t="s">
        <v>44</v>
      </c>
      <c r="F498" s="29" t="s">
        <v>45</v>
      </c>
    </row>
    <row r="499" spans="1:6" ht="14.25" customHeight="1" x14ac:dyDescent="0.25">
      <c r="A499" s="30" t="s">
        <v>161</v>
      </c>
      <c r="B499" s="31" t="str">
        <f ca="1">IFERROR(INDEX(UNSPSCDes,MATCH(INDIRECT(ADDRESS(ROW(),COLUMN()-1,4)),UNSPSCCode,0)),IF(INDIRECT(ADDRESS(ROW(),COLUMN()-1,4))="72101517","Servicio de mantenimiento o reparación de generadores portátiles",""))</f>
        <v>Servicio de mantenimiento o reparación de generadores portátiles</v>
      </c>
      <c r="C499" s="32" t="str">
        <f>IFERROR(VLOOKUP("UD",'[1]Informacion '!P:Q,2,FALSE),"")</f>
        <v>Unidad</v>
      </c>
      <c r="D499" s="30">
        <v>1</v>
      </c>
      <c r="E499" s="33">
        <v>390000</v>
      </c>
      <c r="F499" s="34">
        <f ca="1">INDIRECT(ADDRESS(ROW(),COLUMN()-2,4))*INDIRECT(ADDRESS(ROW(),COLUMN()-1,4))</f>
        <v>390000</v>
      </c>
    </row>
    <row r="500" spans="1:6" ht="14.25" customHeight="1" x14ac:dyDescent="0.25">
      <c r="E500" s="35" t="s">
        <v>47</v>
      </c>
      <c r="F500" s="36">
        <f ca="1">SUM(Table40[MONTO TOTAL ESTIMADO])</f>
        <v>390000</v>
      </c>
    </row>
    <row r="502" spans="1:6" ht="33.950000000000003" customHeight="1" thickBot="1" x14ac:dyDescent="0.3">
      <c r="A502" s="21" t="s">
        <v>19</v>
      </c>
      <c r="B502" s="21" t="s">
        <v>20</v>
      </c>
      <c r="C502" s="21" t="s">
        <v>21</v>
      </c>
      <c r="D502" s="21" t="s">
        <v>22</v>
      </c>
      <c r="E502" s="21" t="s">
        <v>23</v>
      </c>
      <c r="F502" s="21" t="s">
        <v>24</v>
      </c>
    </row>
    <row r="503" spans="1:6" ht="14.25" customHeight="1" thickBot="1" x14ac:dyDescent="0.3">
      <c r="A503" s="23" t="s">
        <v>162</v>
      </c>
      <c r="B503" s="23" t="s">
        <v>162</v>
      </c>
      <c r="C503" s="23" t="s">
        <v>26</v>
      </c>
      <c r="D503" s="23" t="s">
        <v>62</v>
      </c>
      <c r="E503" s="23" t="s">
        <v>49</v>
      </c>
      <c r="F503" s="23"/>
    </row>
    <row r="504" spans="1:6" ht="14.25" customHeight="1" thickBot="1" x14ac:dyDescent="0.3">
      <c r="A504" s="39" t="s">
        <v>29</v>
      </c>
      <c r="B504" s="24" t="s">
        <v>30</v>
      </c>
      <c r="C504" s="25">
        <v>45691</v>
      </c>
      <c r="D504" s="39" t="s">
        <v>31</v>
      </c>
      <c r="E504" s="26" t="s">
        <v>32</v>
      </c>
      <c r="F504" s="27" t="s">
        <v>33</v>
      </c>
    </row>
    <row r="505" spans="1:6" ht="14.25" customHeight="1" thickBot="1" x14ac:dyDescent="0.3">
      <c r="A505" s="40"/>
      <c r="B505" s="24" t="s">
        <v>34</v>
      </c>
      <c r="C505" s="28">
        <f>IF(C504="","",IF(AND(MONTH(C504)&gt;=1,MONTH(C504)&lt;=3),1,IF(AND(MONTH(C504)&gt;=4,MONTH(C504)&lt;=6),2,IF(AND(MONTH(C504)&gt;=7,MONTH(C504)&lt;=9),3,4))))</f>
        <v>1</v>
      </c>
      <c r="D505" s="40"/>
      <c r="E505" s="26" t="s">
        <v>35</v>
      </c>
      <c r="F505" s="27" t="s">
        <v>36</v>
      </c>
    </row>
    <row r="506" spans="1:6" ht="14.25" customHeight="1" thickBot="1" x14ac:dyDescent="0.3">
      <c r="A506" s="40"/>
      <c r="B506" s="24" t="s">
        <v>37</v>
      </c>
      <c r="C506" s="25">
        <v>45705</v>
      </c>
      <c r="D506" s="40"/>
      <c r="E506" s="26" t="s">
        <v>38</v>
      </c>
      <c r="F506" s="27" t="s">
        <v>36</v>
      </c>
    </row>
    <row r="507" spans="1:6" ht="14.25" customHeight="1" thickBot="1" x14ac:dyDescent="0.3">
      <c r="A507" s="40"/>
      <c r="B507" s="24" t="s">
        <v>34</v>
      </c>
      <c r="C507" s="28">
        <f>IF(C506="","",IF(AND(MONTH(C506)&gt;=1,MONTH(C506)&lt;=3),1,IF(AND(MONTH(C506)&gt;=4,MONTH(C506)&lt;=6),2,IF(AND(MONTH(C506)&gt;=7,MONTH(C506)&lt;=9),3,4))))</f>
        <v>1</v>
      </c>
      <c r="D507" s="40"/>
      <c r="E507" s="26" t="s">
        <v>39</v>
      </c>
      <c r="F507" s="27"/>
    </row>
    <row r="509" spans="1:6" ht="14.25" customHeight="1" thickBot="1" x14ac:dyDescent="0.3">
      <c r="A509" s="29" t="s">
        <v>40</v>
      </c>
      <c r="B509" s="29" t="s">
        <v>41</v>
      </c>
      <c r="C509" s="29" t="s">
        <v>42</v>
      </c>
      <c r="D509" s="29" t="s">
        <v>43</v>
      </c>
      <c r="E509" s="29" t="s">
        <v>44</v>
      </c>
      <c r="F509" s="29" t="s">
        <v>45</v>
      </c>
    </row>
    <row r="510" spans="1:6" ht="14.25" customHeight="1" x14ac:dyDescent="0.25">
      <c r="A510" s="30" t="s">
        <v>163</v>
      </c>
      <c r="B510" s="31" t="str">
        <f ca="1">IFERROR(INDEX(UNSPSCDes,MATCH(INDIRECT(ADDRESS(ROW(),COLUMN()-1,4)),UNSPSCCode,0)),IF(INDIRECT(ADDRESS(ROW(),COLUMN()-1,4))="43212105","Impresoras láser",""))</f>
        <v>Impresoras láser</v>
      </c>
      <c r="C510" s="32" t="str">
        <f>IFERROR(VLOOKUP("UD",'[1]Informacion '!P:Q,2,FALSE),"")</f>
        <v>Unidad</v>
      </c>
      <c r="D510" s="30">
        <v>1</v>
      </c>
      <c r="E510" s="33">
        <v>1200000</v>
      </c>
      <c r="F510" s="34">
        <f ca="1">INDIRECT(ADDRESS(ROW(),COLUMN()-2,4))*INDIRECT(ADDRESS(ROW(),COLUMN()-1,4))</f>
        <v>1200000</v>
      </c>
    </row>
    <row r="511" spans="1:6" ht="14.25" customHeight="1" x14ac:dyDescent="0.25">
      <c r="E511" s="35" t="s">
        <v>47</v>
      </c>
      <c r="F511" s="36">
        <f ca="1">SUM(Table41[MONTO TOTAL ESTIMADO])</f>
        <v>1200000</v>
      </c>
    </row>
    <row r="513" spans="1:6" ht="33.950000000000003" customHeight="1" thickBot="1" x14ac:dyDescent="0.3">
      <c r="A513" s="21" t="s">
        <v>19</v>
      </c>
      <c r="B513" s="21" t="s">
        <v>20</v>
      </c>
      <c r="C513" s="21" t="s">
        <v>21</v>
      </c>
      <c r="D513" s="21" t="s">
        <v>22</v>
      </c>
      <c r="E513" s="21" t="s">
        <v>23</v>
      </c>
      <c r="F513" s="21" t="s">
        <v>24</v>
      </c>
    </row>
    <row r="514" spans="1:6" ht="14.25" customHeight="1" thickBot="1" x14ac:dyDescent="0.3">
      <c r="A514" s="23" t="s">
        <v>164</v>
      </c>
      <c r="B514" s="23" t="s">
        <v>164</v>
      </c>
      <c r="C514" s="23" t="s">
        <v>55</v>
      </c>
      <c r="D514" s="23" t="s">
        <v>62</v>
      </c>
      <c r="E514" s="23" t="s">
        <v>52</v>
      </c>
      <c r="F514" s="23"/>
    </row>
    <row r="515" spans="1:6" ht="14.25" customHeight="1" thickBot="1" x14ac:dyDescent="0.3">
      <c r="A515" s="39" t="s">
        <v>29</v>
      </c>
      <c r="B515" s="24" t="s">
        <v>30</v>
      </c>
      <c r="C515" s="25">
        <v>45691</v>
      </c>
      <c r="D515" s="39" t="s">
        <v>31</v>
      </c>
      <c r="E515" s="26" t="s">
        <v>32</v>
      </c>
      <c r="F515" s="27" t="s">
        <v>33</v>
      </c>
    </row>
    <row r="516" spans="1:6" ht="14.25" customHeight="1" thickBot="1" x14ac:dyDescent="0.3">
      <c r="A516" s="40"/>
      <c r="B516" s="24" t="s">
        <v>34</v>
      </c>
      <c r="C516" s="28">
        <f>IF(C515="","",IF(AND(MONTH(C515)&gt;=1,MONTH(C515)&lt;=3),1,IF(AND(MONTH(C515)&gt;=4,MONTH(C515)&lt;=6),2,IF(AND(MONTH(C515)&gt;=7,MONTH(C515)&lt;=9),3,4))))</f>
        <v>1</v>
      </c>
      <c r="D516" s="40"/>
      <c r="E516" s="26" t="s">
        <v>35</v>
      </c>
      <c r="F516" s="27" t="s">
        <v>36</v>
      </c>
    </row>
    <row r="517" spans="1:6" ht="14.25" customHeight="1" thickBot="1" x14ac:dyDescent="0.3">
      <c r="A517" s="40"/>
      <c r="B517" s="24" t="s">
        <v>37</v>
      </c>
      <c r="C517" s="25">
        <v>45705</v>
      </c>
      <c r="D517" s="40"/>
      <c r="E517" s="26" t="s">
        <v>38</v>
      </c>
      <c r="F517" s="27" t="s">
        <v>36</v>
      </c>
    </row>
    <row r="518" spans="1:6" ht="14.25" customHeight="1" thickBot="1" x14ac:dyDescent="0.3">
      <c r="A518" s="40"/>
      <c r="B518" s="24" t="s">
        <v>34</v>
      </c>
      <c r="C518" s="28">
        <f>IF(C517="","",IF(AND(MONTH(C517)&gt;=1,MONTH(C517)&lt;=3),1,IF(AND(MONTH(C517)&gt;=4,MONTH(C517)&lt;=6),2,IF(AND(MONTH(C517)&gt;=7,MONTH(C517)&lt;=9),3,4))))</f>
        <v>1</v>
      </c>
      <c r="D518" s="40"/>
      <c r="E518" s="26" t="s">
        <v>39</v>
      </c>
      <c r="F518" s="27"/>
    </row>
    <row r="520" spans="1:6" ht="14.25" customHeight="1" thickBot="1" x14ac:dyDescent="0.3">
      <c r="A520" s="29" t="s">
        <v>40</v>
      </c>
      <c r="B520" s="29" t="s">
        <v>41</v>
      </c>
      <c r="C520" s="29" t="s">
        <v>42</v>
      </c>
      <c r="D520" s="29" t="s">
        <v>43</v>
      </c>
      <c r="E520" s="29" t="s">
        <v>44</v>
      </c>
      <c r="F520" s="29" t="s">
        <v>45</v>
      </c>
    </row>
    <row r="521" spans="1:6" ht="14.25" customHeight="1" x14ac:dyDescent="0.25">
      <c r="A521" s="30" t="s">
        <v>79</v>
      </c>
      <c r="B521" s="31" t="str">
        <f ca="1">IFERROR(INDEX(UNSPSCDes,MATCH(INDIRECT(ADDRESS(ROW(),COLUMN()-1,4)),UNSPSCCode,0)),IF(INDIRECT(ADDRESS(ROW(),COLUMN()-1,4))="15101506","Gasolina",""))</f>
        <v>Gasolina</v>
      </c>
      <c r="C521" s="32" t="str">
        <f>IFERROR(VLOOKUP("UD",'[1]Informacion '!P:Q,2,FALSE),"")</f>
        <v>Unidad</v>
      </c>
      <c r="D521" s="30">
        <v>1</v>
      </c>
      <c r="E521" s="33">
        <v>300000</v>
      </c>
      <c r="F521" s="34">
        <f ca="1">INDIRECT(ADDRESS(ROW(),COLUMN()-2,4))*INDIRECT(ADDRESS(ROW(),COLUMN()-1,4))</f>
        <v>300000</v>
      </c>
    </row>
    <row r="522" spans="1:6" ht="14.25" customHeight="1" x14ac:dyDescent="0.25">
      <c r="E522" s="35" t="s">
        <v>47</v>
      </c>
      <c r="F522" s="36">
        <f ca="1">SUM(Table42[MONTO TOTAL ESTIMADO])</f>
        <v>300000</v>
      </c>
    </row>
    <row r="524" spans="1:6" ht="33.950000000000003" customHeight="1" thickBot="1" x14ac:dyDescent="0.3">
      <c r="A524" s="21" t="s">
        <v>19</v>
      </c>
      <c r="B524" s="21" t="s">
        <v>20</v>
      </c>
      <c r="C524" s="21" t="s">
        <v>21</v>
      </c>
      <c r="D524" s="21" t="s">
        <v>22</v>
      </c>
      <c r="E524" s="21" t="s">
        <v>23</v>
      </c>
      <c r="F524" s="21" t="s">
        <v>24</v>
      </c>
    </row>
    <row r="525" spans="1:6" ht="14.25" customHeight="1" thickBot="1" x14ac:dyDescent="0.3">
      <c r="A525" s="23" t="s">
        <v>165</v>
      </c>
      <c r="B525" s="23" t="s">
        <v>165</v>
      </c>
      <c r="C525" s="23" t="s">
        <v>55</v>
      </c>
      <c r="D525" s="23" t="s">
        <v>27</v>
      </c>
      <c r="E525" s="23" t="s">
        <v>52</v>
      </c>
      <c r="F525" s="23"/>
    </row>
    <row r="526" spans="1:6" ht="14.25" customHeight="1" thickBot="1" x14ac:dyDescent="0.3">
      <c r="A526" s="39" t="s">
        <v>29</v>
      </c>
      <c r="B526" s="24" t="s">
        <v>30</v>
      </c>
      <c r="C526" s="25">
        <v>45705</v>
      </c>
      <c r="D526" s="39" t="s">
        <v>31</v>
      </c>
      <c r="E526" s="26" t="s">
        <v>32</v>
      </c>
      <c r="F526" s="27" t="s">
        <v>33</v>
      </c>
    </row>
    <row r="527" spans="1:6" ht="14.25" customHeight="1" thickBot="1" x14ac:dyDescent="0.3">
      <c r="A527" s="40"/>
      <c r="B527" s="24" t="s">
        <v>34</v>
      </c>
      <c r="C527" s="28">
        <f>IF(C526="","",IF(AND(MONTH(C526)&gt;=1,MONTH(C526)&lt;=3),1,IF(AND(MONTH(C526)&gt;=4,MONTH(C526)&lt;=6),2,IF(AND(MONTH(C526)&gt;=7,MONTH(C526)&lt;=9),3,4))))</f>
        <v>1</v>
      </c>
      <c r="D527" s="40"/>
      <c r="E527" s="26" t="s">
        <v>35</v>
      </c>
      <c r="F527" s="27" t="s">
        <v>36</v>
      </c>
    </row>
    <row r="528" spans="1:6" ht="14.25" customHeight="1" thickBot="1" x14ac:dyDescent="0.3">
      <c r="A528" s="40"/>
      <c r="B528" s="24" t="s">
        <v>37</v>
      </c>
      <c r="C528" s="25">
        <v>45726</v>
      </c>
      <c r="D528" s="40"/>
      <c r="E528" s="26" t="s">
        <v>38</v>
      </c>
      <c r="F528" s="27" t="s">
        <v>36</v>
      </c>
    </row>
    <row r="529" spans="1:6" ht="14.25" customHeight="1" thickBot="1" x14ac:dyDescent="0.3">
      <c r="A529" s="40"/>
      <c r="B529" s="24" t="s">
        <v>34</v>
      </c>
      <c r="C529" s="28">
        <f>IF(C528="","",IF(AND(MONTH(C528)&gt;=1,MONTH(C528)&lt;=3),1,IF(AND(MONTH(C528)&gt;=4,MONTH(C528)&lt;=6),2,IF(AND(MONTH(C528)&gt;=7,MONTH(C528)&lt;=9),3,4))))</f>
        <v>1</v>
      </c>
      <c r="D529" s="40"/>
      <c r="E529" s="26" t="s">
        <v>39</v>
      </c>
      <c r="F529" s="27"/>
    </row>
    <row r="531" spans="1:6" ht="14.25" customHeight="1" thickBot="1" x14ac:dyDescent="0.3">
      <c r="A531" s="29" t="s">
        <v>40</v>
      </c>
      <c r="B531" s="29" t="s">
        <v>41</v>
      </c>
      <c r="C531" s="29" t="s">
        <v>42</v>
      </c>
      <c r="D531" s="29" t="s">
        <v>43</v>
      </c>
      <c r="E531" s="29" t="s">
        <v>44</v>
      </c>
      <c r="F531" s="29" t="s">
        <v>45</v>
      </c>
    </row>
    <row r="532" spans="1:6" ht="14.25" customHeight="1" x14ac:dyDescent="0.25">
      <c r="A532" s="30" t="s">
        <v>82</v>
      </c>
      <c r="B532" s="31" t="str">
        <f ca="1">IFERROR(INDEX(UNSPSCDes,MATCH(INDIRECT(ADDRESS(ROW(),COLUMN()-1,4)),UNSPSCCode,0)),IF(INDIRECT(ADDRESS(ROW(),COLUMN()-1,4))="50202301","Agua",""))</f>
        <v>Agua</v>
      </c>
      <c r="C532" s="32" t="str">
        <f>IFERROR(VLOOKUP("UD",'[1]Informacion '!P:Q,2,FALSE),"")</f>
        <v>Unidad</v>
      </c>
      <c r="D532" s="30">
        <v>1</v>
      </c>
      <c r="E532" s="33">
        <v>40000</v>
      </c>
      <c r="F532" s="34">
        <f ca="1">INDIRECT(ADDRESS(ROW(),COLUMN()-2,4))*INDIRECT(ADDRESS(ROW(),COLUMN()-1,4))</f>
        <v>40000</v>
      </c>
    </row>
    <row r="533" spans="1:6" ht="14.25" customHeight="1" x14ac:dyDescent="0.25">
      <c r="A533" s="30" t="s">
        <v>82</v>
      </c>
      <c r="B533" s="31" t="str">
        <f ca="1">IFERROR(INDEX(UNSPSCDes,MATCH(INDIRECT(ADDRESS(ROW(),COLUMN()-1,4)),UNSPSCCode,0)),IF(INDIRECT(ADDRESS(ROW(),COLUMN()-1,4))="50202301","Agua",""))</f>
        <v>Agua</v>
      </c>
      <c r="C533" s="32" t="str">
        <f>IFERROR(VLOOKUP("UD",'[1]Informacion '!P:Q,2,FALSE),"")</f>
        <v>Unidad</v>
      </c>
      <c r="D533" s="30">
        <v>1</v>
      </c>
      <c r="E533" s="33">
        <v>10000</v>
      </c>
      <c r="F533" s="34">
        <f ca="1">INDIRECT(ADDRESS(ROW(),COLUMN()-2,4))*INDIRECT(ADDRESS(ROW(),COLUMN()-1,4))</f>
        <v>10000</v>
      </c>
    </row>
    <row r="534" spans="1:6" ht="14.25" customHeight="1" x14ac:dyDescent="0.25">
      <c r="E534" s="35" t="s">
        <v>47</v>
      </c>
      <c r="F534" s="36">
        <f ca="1">SUM(Table43[MONTO TOTAL ESTIMADO])</f>
        <v>50000</v>
      </c>
    </row>
    <row r="536" spans="1:6" ht="33.950000000000003" customHeight="1" thickBot="1" x14ac:dyDescent="0.3">
      <c r="A536" s="21" t="s">
        <v>19</v>
      </c>
      <c r="B536" s="21" t="s">
        <v>20</v>
      </c>
      <c r="C536" s="21" t="s">
        <v>21</v>
      </c>
      <c r="D536" s="21" t="s">
        <v>22</v>
      </c>
      <c r="E536" s="21" t="s">
        <v>23</v>
      </c>
      <c r="F536" s="21" t="s">
        <v>24</v>
      </c>
    </row>
    <row r="537" spans="1:6" ht="14.25" customHeight="1" thickBot="1" x14ac:dyDescent="0.3">
      <c r="A537" s="23" t="s">
        <v>166</v>
      </c>
      <c r="B537" s="23" t="s">
        <v>166</v>
      </c>
      <c r="C537" s="23" t="s">
        <v>55</v>
      </c>
      <c r="D537" s="23" t="s">
        <v>62</v>
      </c>
      <c r="E537" s="23" t="s">
        <v>49</v>
      </c>
      <c r="F537" s="23"/>
    </row>
    <row r="538" spans="1:6" ht="14.25" customHeight="1" thickBot="1" x14ac:dyDescent="0.3">
      <c r="A538" s="39" t="s">
        <v>29</v>
      </c>
      <c r="B538" s="24" t="s">
        <v>30</v>
      </c>
      <c r="C538" s="25">
        <v>45950</v>
      </c>
      <c r="D538" s="39" t="s">
        <v>31</v>
      </c>
      <c r="E538" s="26" t="s">
        <v>32</v>
      </c>
      <c r="F538" s="27" t="s">
        <v>33</v>
      </c>
    </row>
    <row r="539" spans="1:6" ht="14.25" customHeight="1" thickBot="1" x14ac:dyDescent="0.3">
      <c r="A539" s="40"/>
      <c r="B539" s="24" t="s">
        <v>34</v>
      </c>
      <c r="C539" s="28">
        <f>IF(C538="","",IF(AND(MONTH(C538)&gt;=1,MONTH(C538)&lt;=3),1,IF(AND(MONTH(C538)&gt;=4,MONTH(C538)&lt;=6),2,IF(AND(MONTH(C538)&gt;=7,MONTH(C538)&lt;=9),3,4))))</f>
        <v>4</v>
      </c>
      <c r="D539" s="40"/>
      <c r="E539" s="26" t="s">
        <v>35</v>
      </c>
      <c r="F539" s="27" t="s">
        <v>36</v>
      </c>
    </row>
    <row r="540" spans="1:6" ht="14.25" customHeight="1" thickBot="1" x14ac:dyDescent="0.3">
      <c r="A540" s="40"/>
      <c r="B540" s="24" t="s">
        <v>37</v>
      </c>
      <c r="C540" s="25">
        <v>45960</v>
      </c>
      <c r="D540" s="40"/>
      <c r="E540" s="26" t="s">
        <v>38</v>
      </c>
      <c r="F540" s="27" t="s">
        <v>36</v>
      </c>
    </row>
    <row r="541" spans="1:6" ht="14.25" customHeight="1" thickBot="1" x14ac:dyDescent="0.3">
      <c r="A541" s="40"/>
      <c r="B541" s="24" t="s">
        <v>34</v>
      </c>
      <c r="C541" s="28">
        <f>IF(C540="","",IF(AND(MONTH(C540)&gt;=1,MONTH(C540)&lt;=3),1,IF(AND(MONTH(C540)&gt;=4,MONTH(C540)&lt;=6),2,IF(AND(MONTH(C540)&gt;=7,MONTH(C540)&lt;=9),3,4))))</f>
        <v>4</v>
      </c>
      <c r="D541" s="40"/>
      <c r="E541" s="26" t="s">
        <v>39</v>
      </c>
      <c r="F541" s="27"/>
    </row>
    <row r="543" spans="1:6" ht="14.25" customHeight="1" thickBot="1" x14ac:dyDescent="0.3">
      <c r="A543" s="29" t="s">
        <v>40</v>
      </c>
      <c r="B543" s="29" t="s">
        <v>41</v>
      </c>
      <c r="C543" s="29" t="s">
        <v>42</v>
      </c>
      <c r="D543" s="29" t="s">
        <v>43</v>
      </c>
      <c r="E543" s="29" t="s">
        <v>44</v>
      </c>
      <c r="F543" s="29" t="s">
        <v>45</v>
      </c>
    </row>
    <row r="544" spans="1:6" ht="14.25" customHeight="1" x14ac:dyDescent="0.25">
      <c r="A544" s="30" t="s">
        <v>153</v>
      </c>
      <c r="B544" s="31" t="str">
        <f ca="1">IFERROR(INDEX(UNSPSCDes,MATCH(INDIRECT(ADDRESS(ROW(),COLUMN()-1,4)),UNSPSCCode,0)),IF(INDIRECT(ADDRESS(ROW(),COLUMN()-1,4))="14111507","Papel para impresora o fotocopiadora",""))</f>
        <v>Papel para impresora o fotocopiadora</v>
      </c>
      <c r="C544" s="32" t="str">
        <f>IFERROR(VLOOKUP("CAJ",'[1]Informacion '!P:Q,2,FALSE),"")</f>
        <v>Caja</v>
      </c>
      <c r="D544" s="30">
        <v>120</v>
      </c>
      <c r="E544" s="33">
        <v>2700</v>
      </c>
      <c r="F544" s="34">
        <f t="shared" ref="F544:F554" ca="1" si="7">INDIRECT(ADDRESS(ROW(),COLUMN()-2,4))*INDIRECT(ADDRESS(ROW(),COLUMN()-1,4))</f>
        <v>324000</v>
      </c>
    </row>
    <row r="545" spans="1:6" ht="14.25" customHeight="1" x14ac:dyDescent="0.25">
      <c r="A545" s="30" t="s">
        <v>97</v>
      </c>
      <c r="B545" s="31" t="str">
        <f ca="1">IFERROR(INDEX(UNSPSCDes,MATCH(INDIRECT(ADDRESS(ROW(),COLUMN()-1,4)),UNSPSCCode,0)),IF(INDIRECT(ADDRESS(ROW(),COLUMN()-1,4))="14111530","Papel de notas autoadhesivas",""))</f>
        <v>Papel de notas autoadhesivas</v>
      </c>
      <c r="C545" s="32" t="str">
        <f>IFERROR(VLOOKUP("UD",'[1]Informacion '!P:Q,2,FALSE),"")</f>
        <v>Unidad</v>
      </c>
      <c r="D545" s="30">
        <v>100</v>
      </c>
      <c r="E545" s="33">
        <v>40</v>
      </c>
      <c r="F545" s="34">
        <f t="shared" ca="1" si="7"/>
        <v>4000</v>
      </c>
    </row>
    <row r="546" spans="1:6" ht="14.25" customHeight="1" x14ac:dyDescent="0.25">
      <c r="A546" s="30" t="s">
        <v>95</v>
      </c>
      <c r="B546" s="31" t="str">
        <f ca="1">IFERROR(INDEX(UNSPSCDes,MATCH(INDIRECT(ADDRESS(ROW(),COLUMN()-1,4)),UNSPSCCode,0)),IF(INDIRECT(ADDRESS(ROW(),COLUMN()-1,4))="44121701","Bolígrafos",""))</f>
        <v>Bolígrafos</v>
      </c>
      <c r="C546" s="32" t="str">
        <f>IFERROR(VLOOKUP("CAJ",'[1]Informacion '!P:Q,2,FALSE),"")</f>
        <v>Caja</v>
      </c>
      <c r="D546" s="30">
        <v>120</v>
      </c>
      <c r="E546" s="33">
        <v>80</v>
      </c>
      <c r="F546" s="34">
        <f t="shared" ca="1" si="7"/>
        <v>9600</v>
      </c>
    </row>
    <row r="547" spans="1:6" ht="14.25" customHeight="1" x14ac:dyDescent="0.25">
      <c r="A547" s="30" t="s">
        <v>167</v>
      </c>
      <c r="B547" s="31" t="str">
        <f ca="1">IFERROR(INDEX(UNSPSCDes,MATCH(INDIRECT(ADDRESS(ROW(),COLUMN()-1,4)),UNSPSCCode,0)),IF(INDIRECT(ADDRESS(ROW(),COLUMN()-1,4))="44122003","Carpetas",""))</f>
        <v>Carpetas</v>
      </c>
      <c r="C547" s="32" t="str">
        <f>IFERROR(VLOOKUP("UD",'[1]Informacion '!P:Q,2,FALSE),"")</f>
        <v>Unidad</v>
      </c>
      <c r="D547" s="30">
        <v>100</v>
      </c>
      <c r="E547" s="33">
        <v>125</v>
      </c>
      <c r="F547" s="34">
        <f t="shared" ca="1" si="7"/>
        <v>12500</v>
      </c>
    </row>
    <row r="548" spans="1:6" ht="14.25" customHeight="1" x14ac:dyDescent="0.25">
      <c r="A548" s="30" t="s">
        <v>168</v>
      </c>
      <c r="B548" s="31" t="str">
        <f ca="1">IFERROR(INDEX(UNSPSCDes,MATCH(INDIRECT(ADDRESS(ROW(),COLUMN()-1,4)),UNSPSCCode,0)),IF(INDIRECT(ADDRESS(ROW(),COLUMN()-1,4))="44121706","Lápices de madera",""))</f>
        <v>Lápices de madera</v>
      </c>
      <c r="C548" s="32" t="str">
        <f>IFERROR(VLOOKUP("CAJ",'[1]Informacion '!P:Q,2,FALSE),"")</f>
        <v>Caja</v>
      </c>
      <c r="D548" s="30">
        <v>100</v>
      </c>
      <c r="E548" s="33">
        <v>75</v>
      </c>
      <c r="F548" s="34">
        <f t="shared" ca="1" si="7"/>
        <v>7500</v>
      </c>
    </row>
    <row r="549" spans="1:6" ht="14.25" customHeight="1" x14ac:dyDescent="0.25">
      <c r="A549" s="30" t="s">
        <v>169</v>
      </c>
      <c r="B549" s="31" t="str">
        <f ca="1">IFERROR(INDEX(UNSPSCDes,MATCH(INDIRECT(ADDRESS(ROW(),COLUMN()-1,4)),UNSPSCCode,0)),IF(INDIRECT(ADDRESS(ROW(),COLUMN()-1,4))="44121804","Borradores",""))</f>
        <v>Borradores</v>
      </c>
      <c r="C549" s="32" t="str">
        <f>IFERROR(VLOOKUP("CAJ",'[1]Informacion '!P:Q,2,FALSE),"")</f>
        <v>Caja</v>
      </c>
      <c r="D549" s="30">
        <v>45</v>
      </c>
      <c r="E549" s="33">
        <v>150</v>
      </c>
      <c r="F549" s="34">
        <f t="shared" ca="1" si="7"/>
        <v>6750</v>
      </c>
    </row>
    <row r="550" spans="1:6" ht="14.25" customHeight="1" x14ac:dyDescent="0.25">
      <c r="A550" s="30" t="s">
        <v>170</v>
      </c>
      <c r="B550" s="31" t="str">
        <f ca="1">IFERROR(INDEX(UNSPSCDes,MATCH(INDIRECT(ADDRESS(ROW(),COLUMN()-1,4)),UNSPSCCode,0)),IF(INDIRECT(ADDRESS(ROW(),COLUMN()-1,4))="44111808","Reglas t",""))</f>
        <v>Reglas t</v>
      </c>
      <c r="C550" s="32" t="str">
        <f>IFERROR(VLOOKUP("UD",'[1]Informacion '!P:Q,2,FALSE),"")</f>
        <v>Unidad</v>
      </c>
      <c r="D550" s="30">
        <v>50</v>
      </c>
      <c r="E550" s="33">
        <v>22</v>
      </c>
      <c r="F550" s="34">
        <f t="shared" ca="1" si="7"/>
        <v>1100</v>
      </c>
    </row>
    <row r="551" spans="1:6" ht="14.25" customHeight="1" x14ac:dyDescent="0.25">
      <c r="A551" s="30" t="s">
        <v>171</v>
      </c>
      <c r="B551" s="31" t="str">
        <f ca="1">IFERROR(INDEX(UNSPSCDes,MATCH(INDIRECT(ADDRESS(ROW(),COLUMN()-1,4)),UNSPSCCode,0)),IF(INDIRECT(ADDRESS(ROW(),COLUMN()-1,4))="44121615","Grapadoras",""))</f>
        <v>Grapadoras</v>
      </c>
      <c r="C551" s="32" t="str">
        <f>IFERROR(VLOOKUP("UD",'[1]Informacion '!P:Q,2,FALSE),"")</f>
        <v>Unidad</v>
      </c>
      <c r="D551" s="30">
        <v>80</v>
      </c>
      <c r="E551" s="33">
        <v>180</v>
      </c>
      <c r="F551" s="34">
        <f t="shared" ca="1" si="7"/>
        <v>14400</v>
      </c>
    </row>
    <row r="552" spans="1:6" ht="14.25" customHeight="1" x14ac:dyDescent="0.25">
      <c r="A552" s="30" t="s">
        <v>172</v>
      </c>
      <c r="B552" s="31" t="str">
        <f ca="1">IFERROR(INDEX(UNSPSCDes,MATCH(INDIRECT(ADDRESS(ROW(),COLUMN()-1,4)),UNSPSCCode,0)),IF(INDIRECT(ADDRESS(ROW(),COLUMN()-1,4))="44121619","Tajalápices manuales.",""))</f>
        <v>Tajalápices manuales.</v>
      </c>
      <c r="C552" s="32" t="str">
        <f>IFERROR(VLOOKUP("CAJ",'[1]Informacion '!P:Q,2,FALSE),"")</f>
        <v>Caja</v>
      </c>
      <c r="D552" s="30">
        <v>25</v>
      </c>
      <c r="E552" s="33">
        <v>200</v>
      </c>
      <c r="F552" s="34">
        <f t="shared" ca="1" si="7"/>
        <v>5000</v>
      </c>
    </row>
    <row r="553" spans="1:6" ht="14.25" customHeight="1" x14ac:dyDescent="0.25">
      <c r="A553" s="30" t="s">
        <v>98</v>
      </c>
      <c r="B553" s="31" t="str">
        <f ca="1">IFERROR(INDEX(UNSPSCDes,MATCH(INDIRECT(ADDRESS(ROW(),COLUMN()-1,4)),UNSPSCCode,0)),IF(INDIRECT(ADDRESS(ROW(),COLUMN()-1,4))="44122011","Folders",""))</f>
        <v>Folders</v>
      </c>
      <c r="C553" s="32" t="str">
        <f>IFERROR(VLOOKUP("CAJ",'[1]Informacion '!P:Q,2,FALSE),"")</f>
        <v>Caja</v>
      </c>
      <c r="D553" s="30">
        <v>25</v>
      </c>
      <c r="E553" s="33">
        <v>325</v>
      </c>
      <c r="F553" s="34">
        <f t="shared" ca="1" si="7"/>
        <v>8125</v>
      </c>
    </row>
    <row r="554" spans="1:6" ht="14.25" customHeight="1" x14ac:dyDescent="0.25">
      <c r="A554" s="30" t="s">
        <v>98</v>
      </c>
      <c r="B554" s="31" t="str">
        <f ca="1">IFERROR(INDEX(UNSPSCDes,MATCH(INDIRECT(ADDRESS(ROW(),COLUMN()-1,4)),UNSPSCCode,0)),IF(INDIRECT(ADDRESS(ROW(),COLUMN()-1,4))="44122011","Folders",""))</f>
        <v>Folders</v>
      </c>
      <c r="C554" s="32" t="str">
        <f>IFERROR(VLOOKUP("CAJ",'[1]Informacion '!P:Q,2,FALSE),"")</f>
        <v>Caja</v>
      </c>
      <c r="D554" s="30">
        <v>25</v>
      </c>
      <c r="E554" s="33">
        <v>290</v>
      </c>
      <c r="F554" s="34">
        <f t="shared" ca="1" si="7"/>
        <v>7250</v>
      </c>
    </row>
    <row r="555" spans="1:6" ht="14.25" customHeight="1" x14ac:dyDescent="0.25">
      <c r="E555" s="35" t="s">
        <v>47</v>
      </c>
      <c r="F555" s="36">
        <f ca="1">SUM(Table44[MONTO TOTAL ESTIMADO])</f>
        <v>400225</v>
      </c>
    </row>
    <row r="557" spans="1:6" ht="33.950000000000003" customHeight="1" thickBot="1" x14ac:dyDescent="0.3">
      <c r="A557" s="21" t="s">
        <v>19</v>
      </c>
      <c r="B557" s="21" t="s">
        <v>20</v>
      </c>
      <c r="C557" s="21" t="s">
        <v>21</v>
      </c>
      <c r="D557" s="21" t="s">
        <v>22</v>
      </c>
      <c r="E557" s="21" t="s">
        <v>23</v>
      </c>
      <c r="F557" s="21" t="s">
        <v>24</v>
      </c>
    </row>
    <row r="558" spans="1:6" ht="14.25" customHeight="1" thickBot="1" x14ac:dyDescent="0.3">
      <c r="A558" s="23" t="s">
        <v>173</v>
      </c>
      <c r="B558" s="23" t="s">
        <v>173</v>
      </c>
      <c r="C558" s="23" t="s">
        <v>55</v>
      </c>
      <c r="D558" s="23" t="s">
        <v>62</v>
      </c>
      <c r="E558" s="23" t="s">
        <v>49</v>
      </c>
      <c r="F558" s="23"/>
    </row>
    <row r="559" spans="1:6" ht="14.25" customHeight="1" thickBot="1" x14ac:dyDescent="0.3">
      <c r="A559" s="39" t="s">
        <v>29</v>
      </c>
      <c r="B559" s="24" t="s">
        <v>30</v>
      </c>
      <c r="C559" s="25">
        <v>45943</v>
      </c>
      <c r="D559" s="39" t="s">
        <v>31</v>
      </c>
      <c r="E559" s="26" t="s">
        <v>32</v>
      </c>
      <c r="F559" s="27" t="s">
        <v>33</v>
      </c>
    </row>
    <row r="560" spans="1:6" ht="14.25" customHeight="1" thickBot="1" x14ac:dyDescent="0.3">
      <c r="A560" s="40"/>
      <c r="B560" s="24" t="s">
        <v>34</v>
      </c>
      <c r="C560" s="28">
        <f>IF(C559="","",IF(AND(MONTH(C559)&gt;=1,MONTH(C559)&lt;=3),1,IF(AND(MONTH(C559)&gt;=4,MONTH(C559)&lt;=6),2,IF(AND(MONTH(C559)&gt;=7,MONTH(C559)&lt;=9),3,4))))</f>
        <v>4</v>
      </c>
      <c r="D560" s="40"/>
      <c r="E560" s="26" t="s">
        <v>35</v>
      </c>
      <c r="F560" s="27" t="s">
        <v>36</v>
      </c>
    </row>
    <row r="561" spans="1:6" ht="14.25" customHeight="1" thickBot="1" x14ac:dyDescent="0.3">
      <c r="A561" s="40"/>
      <c r="B561" s="24" t="s">
        <v>37</v>
      </c>
      <c r="C561" s="25">
        <v>45950</v>
      </c>
      <c r="D561" s="40"/>
      <c r="E561" s="26" t="s">
        <v>38</v>
      </c>
      <c r="F561" s="27" t="s">
        <v>36</v>
      </c>
    </row>
    <row r="562" spans="1:6" ht="14.25" customHeight="1" thickBot="1" x14ac:dyDescent="0.3">
      <c r="A562" s="40"/>
      <c r="B562" s="24" t="s">
        <v>34</v>
      </c>
      <c r="C562" s="28">
        <f>IF(C561="","",IF(AND(MONTH(C561)&gt;=1,MONTH(C561)&lt;=3),1,IF(AND(MONTH(C561)&gt;=4,MONTH(C561)&lt;=6),2,IF(AND(MONTH(C561)&gt;=7,MONTH(C561)&lt;=9),3,4))))</f>
        <v>4</v>
      </c>
      <c r="D562" s="40"/>
      <c r="E562" s="26" t="s">
        <v>39</v>
      </c>
      <c r="F562" s="27"/>
    </row>
    <row r="564" spans="1:6" ht="14.25" customHeight="1" thickBot="1" x14ac:dyDescent="0.3">
      <c r="A564" s="29" t="s">
        <v>40</v>
      </c>
      <c r="B564" s="29" t="s">
        <v>41</v>
      </c>
      <c r="C564" s="29" t="s">
        <v>42</v>
      </c>
      <c r="D564" s="29" t="s">
        <v>43</v>
      </c>
      <c r="E564" s="29" t="s">
        <v>44</v>
      </c>
      <c r="F564" s="29" t="s">
        <v>45</v>
      </c>
    </row>
    <row r="565" spans="1:6" ht="14.25" customHeight="1" x14ac:dyDescent="0.25">
      <c r="A565" s="30" t="s">
        <v>142</v>
      </c>
      <c r="B565" s="31" t="str">
        <f ca="1">IFERROR(INDEX(UNSPSCDes,MATCH(INDIRECT(ADDRESS(ROW(),COLUMN()-1,4)),UNSPSCCode,0)),IF(INDIRECT(ADDRESS(ROW(),COLUMN()-1,4))="14111704","Papel higiénico",""))</f>
        <v>Papel higiénico</v>
      </c>
      <c r="C565" s="32" t="str">
        <f>IFERROR(VLOOKUP("UD",'[1]Informacion '!P:Q,2,FALSE),"")</f>
        <v>Unidad</v>
      </c>
      <c r="D565" s="30">
        <v>85</v>
      </c>
      <c r="E565" s="33">
        <v>1300</v>
      </c>
      <c r="F565" s="34">
        <f t="shared" ref="F565:F580" ca="1" si="8">INDIRECT(ADDRESS(ROW(),COLUMN()-2,4))*INDIRECT(ADDRESS(ROW(),COLUMN()-1,4))</f>
        <v>110500</v>
      </c>
    </row>
    <row r="566" spans="1:6" ht="14.25" customHeight="1" x14ac:dyDescent="0.25">
      <c r="A566" s="30" t="s">
        <v>84</v>
      </c>
      <c r="B566" s="31" t="str">
        <f ca="1">IFERROR(INDEX(UNSPSCDes,MATCH(INDIRECT(ADDRESS(ROW(),COLUMN()-1,4)),UNSPSCCode,0)),IF(INDIRECT(ADDRESS(ROW(),COLUMN()-1,4))="14111703","Toallas de papel",""))</f>
        <v>Toallas de papel</v>
      </c>
      <c r="C566" s="32" t="str">
        <f>IFERROR(VLOOKUP("UD",'[1]Informacion '!P:Q,2,FALSE),"")</f>
        <v>Unidad</v>
      </c>
      <c r="D566" s="30">
        <v>65</v>
      </c>
      <c r="E566" s="33">
        <v>1600</v>
      </c>
      <c r="F566" s="34">
        <f t="shared" ca="1" si="8"/>
        <v>104000</v>
      </c>
    </row>
    <row r="567" spans="1:6" ht="14.25" customHeight="1" x14ac:dyDescent="0.25">
      <c r="A567" s="30" t="s">
        <v>88</v>
      </c>
      <c r="B567" s="31" t="str">
        <f ca="1">IFERROR(INDEX(UNSPSCDes,MATCH(INDIRECT(ADDRESS(ROW(),COLUMN()-1,4)),UNSPSCCode,0)),IF(INDIRECT(ADDRESS(ROW(),COLUMN()-1,4))="14111705","Servilletas de papel",""))</f>
        <v>Servilletas de papel</v>
      </c>
      <c r="C567" s="32" t="str">
        <f>IFERROR(VLOOKUP("UD",'[1]Informacion '!P:Q,2,FALSE),"")</f>
        <v>Unidad</v>
      </c>
      <c r="D567" s="30">
        <v>80</v>
      </c>
      <c r="E567" s="33">
        <v>105</v>
      </c>
      <c r="F567" s="34">
        <f t="shared" ca="1" si="8"/>
        <v>8400</v>
      </c>
    </row>
    <row r="568" spans="1:6" ht="14.25" customHeight="1" x14ac:dyDescent="0.25">
      <c r="A568" s="30" t="s">
        <v>88</v>
      </c>
      <c r="B568" s="31" t="str">
        <f ca="1">IFERROR(INDEX(UNSPSCDes,MATCH(INDIRECT(ADDRESS(ROW(),COLUMN()-1,4)),UNSPSCCode,0)),IF(INDIRECT(ADDRESS(ROW(),COLUMN()-1,4))="14111705","Servilletas de papel",""))</f>
        <v>Servilletas de papel</v>
      </c>
      <c r="C568" s="32" t="str">
        <f>IFERROR(VLOOKUP("UD",'[1]Informacion '!P:Q,2,FALSE),"")</f>
        <v>Unidad</v>
      </c>
      <c r="D568" s="30">
        <v>90</v>
      </c>
      <c r="E568" s="33">
        <v>90</v>
      </c>
      <c r="F568" s="34">
        <f t="shared" ca="1" si="8"/>
        <v>8100</v>
      </c>
    </row>
    <row r="569" spans="1:6" ht="14.25" customHeight="1" x14ac:dyDescent="0.25">
      <c r="A569" s="30" t="s">
        <v>146</v>
      </c>
      <c r="B569" s="31" t="str">
        <f ca="1">IFERROR(INDEX(UNSPSCDes,MATCH(INDIRECT(ADDRESS(ROW(),COLUMN()-1,4)),UNSPSCCode,0)),IF(INDIRECT(ADDRESS(ROW(),COLUMN()-1,4))="12352104","Alcoholes o sus sustitutos",""))</f>
        <v>Alcoholes o sus sustitutos</v>
      </c>
      <c r="C569" s="32" t="str">
        <f>IFERROR(VLOOKUP("GAL",'[1]Informacion '!P:Q,2,FALSE),"")</f>
        <v>Galón</v>
      </c>
      <c r="D569" s="30">
        <v>40</v>
      </c>
      <c r="E569" s="33">
        <v>235</v>
      </c>
      <c r="F569" s="34">
        <f t="shared" ca="1" si="8"/>
        <v>9400</v>
      </c>
    </row>
    <row r="570" spans="1:6" ht="14.25" customHeight="1" x14ac:dyDescent="0.25">
      <c r="A570" s="30" t="s">
        <v>174</v>
      </c>
      <c r="B570" s="31" t="str">
        <f ca="1">IFERROR(INDEX(UNSPSCDes,MATCH(INDIRECT(ADDRESS(ROW(),COLUMN()-1,4)),UNSPSCCode,0)),IF(INDIRECT(ADDRESS(ROW(),COLUMN()-1,4))="47131604","Escobas",""))</f>
        <v>Escobas</v>
      </c>
      <c r="C570" s="32" t="str">
        <f>IFERROR(VLOOKUP("UD",'[1]Informacion '!P:Q,2,FALSE),"")</f>
        <v>Unidad</v>
      </c>
      <c r="D570" s="30">
        <v>20</v>
      </c>
      <c r="E570" s="33">
        <v>290</v>
      </c>
      <c r="F570" s="34">
        <f t="shared" ca="1" si="8"/>
        <v>5800</v>
      </c>
    </row>
    <row r="571" spans="1:6" ht="14.25" customHeight="1" x14ac:dyDescent="0.25">
      <c r="A571" s="30" t="s">
        <v>175</v>
      </c>
      <c r="B571" s="31" t="str">
        <f ca="1">IFERROR(INDEX(UNSPSCDes,MATCH(INDIRECT(ADDRESS(ROW(),COLUMN()-1,4)),UNSPSCCode,0)),IF(INDIRECT(ADDRESS(ROW(),COLUMN()-1,4))="47131805","Limpiadores de propósito general",""))</f>
        <v>Limpiadores de propósito general</v>
      </c>
      <c r="C571" s="32" t="str">
        <f>IFERROR(VLOOKUP("UD",'[1]Informacion '!P:Q,2,FALSE),"")</f>
        <v>Unidad</v>
      </c>
      <c r="D571" s="30">
        <v>30</v>
      </c>
      <c r="E571" s="33">
        <v>435</v>
      </c>
      <c r="F571" s="34">
        <f t="shared" ca="1" si="8"/>
        <v>13050</v>
      </c>
    </row>
    <row r="572" spans="1:6" ht="14.25" customHeight="1" x14ac:dyDescent="0.25">
      <c r="A572" s="30" t="s">
        <v>176</v>
      </c>
      <c r="B572" s="31" t="str">
        <f ca="1">IFERROR(INDEX(UNSPSCDes,MATCH(INDIRECT(ADDRESS(ROW(),COLUMN()-1,4)),UNSPSCCode,0)),IF(INDIRECT(ADDRESS(ROW(),COLUMN()-1,4))="47131603","Esponjas",""))</f>
        <v>Esponjas</v>
      </c>
      <c r="C572" s="32" t="str">
        <f>IFERROR(VLOOKUP("UD",'[1]Informacion '!P:Q,2,FALSE),"")</f>
        <v>Unidad</v>
      </c>
      <c r="D572" s="30">
        <v>60</v>
      </c>
      <c r="E572" s="33">
        <v>35</v>
      </c>
      <c r="F572" s="34">
        <f t="shared" ca="1" si="8"/>
        <v>2100</v>
      </c>
    </row>
    <row r="573" spans="1:6" ht="14.25" customHeight="1" x14ac:dyDescent="0.25">
      <c r="A573" s="30" t="s">
        <v>85</v>
      </c>
      <c r="B573" s="31" t="str">
        <f ca="1">IFERROR(INDEX(UNSPSCDes,MATCH(INDIRECT(ADDRESS(ROW(),COLUMN()-1,4)),UNSPSCCode,0)),IF(INDIRECT(ADDRESS(ROW(),COLUMN()-1,4))="47131816","Desodorantes",""))</f>
        <v>Desodorantes</v>
      </c>
      <c r="C573" s="32" t="str">
        <f>IFERROR(VLOOKUP("UD",'[1]Informacion '!P:Q,2,FALSE),"")</f>
        <v>Unidad</v>
      </c>
      <c r="D573" s="30">
        <v>100</v>
      </c>
      <c r="E573" s="33">
        <v>120</v>
      </c>
      <c r="F573" s="34">
        <f t="shared" ca="1" si="8"/>
        <v>12000</v>
      </c>
    </row>
    <row r="574" spans="1:6" ht="14.25" customHeight="1" x14ac:dyDescent="0.25">
      <c r="A574" s="30" t="s">
        <v>177</v>
      </c>
      <c r="B574" s="31" t="str">
        <f ca="1">IFERROR(INDEX(UNSPSCDes,MATCH(INDIRECT(ADDRESS(ROW(),COLUMN()-1,4)),UNSPSCCode,0)),IF(INDIRECT(ADDRESS(ROW(),COLUMN()-1,4))="47131810","Productos para el lavaplatos",""))</f>
        <v>Productos para el lavaplatos</v>
      </c>
      <c r="C574" s="32" t="str">
        <f>IFERROR(VLOOKUP("UD",'[1]Informacion '!P:Q,2,FALSE),"")</f>
        <v>Unidad</v>
      </c>
      <c r="D574" s="30">
        <v>90</v>
      </c>
      <c r="E574" s="33">
        <v>85</v>
      </c>
      <c r="F574" s="34">
        <f t="shared" ca="1" si="8"/>
        <v>7650</v>
      </c>
    </row>
    <row r="575" spans="1:6" ht="14.25" customHeight="1" x14ac:dyDescent="0.25">
      <c r="A575" s="30" t="s">
        <v>86</v>
      </c>
      <c r="B575" s="31" t="str">
        <f ca="1">IFERROR(INDEX(UNSPSCDes,MATCH(INDIRECT(ADDRESS(ROW(),COLUMN()-1,4)),UNSPSCCode,0)),IF(INDIRECT(ADDRESS(ROW(),COLUMN()-1,4))="47131803","Desinfectantes para uso doméstico",""))</f>
        <v>Desinfectantes para uso doméstico</v>
      </c>
      <c r="C575" s="32" t="str">
        <f>IFERROR(VLOOKUP("GAL",'[1]Informacion '!P:Q,2,FALSE),"")</f>
        <v>Galón</v>
      </c>
      <c r="D575" s="30">
        <v>100</v>
      </c>
      <c r="E575" s="33">
        <v>140</v>
      </c>
      <c r="F575" s="34">
        <f t="shared" ca="1" si="8"/>
        <v>14000</v>
      </c>
    </row>
    <row r="576" spans="1:6" ht="14.25" customHeight="1" x14ac:dyDescent="0.25">
      <c r="A576" s="30" t="s">
        <v>85</v>
      </c>
      <c r="B576" s="31" t="str">
        <f ca="1">IFERROR(INDEX(UNSPSCDes,MATCH(INDIRECT(ADDRESS(ROW(),COLUMN()-1,4)),UNSPSCCode,0)),IF(INDIRECT(ADDRESS(ROW(),COLUMN()-1,4))="47131816","Desodorantes",""))</f>
        <v>Desodorantes</v>
      </c>
      <c r="C576" s="32" t="str">
        <f>IFERROR(VLOOKUP("UD",'[1]Informacion '!P:Q,2,FALSE),"")</f>
        <v>Unidad</v>
      </c>
      <c r="D576" s="30">
        <v>70</v>
      </c>
      <c r="E576" s="33">
        <v>620</v>
      </c>
      <c r="F576" s="34">
        <f t="shared" ca="1" si="8"/>
        <v>43400</v>
      </c>
    </row>
    <row r="577" spans="1:6" ht="14.25" customHeight="1" x14ac:dyDescent="0.25">
      <c r="A577" s="30" t="s">
        <v>143</v>
      </c>
      <c r="B577" s="31" t="str">
        <f ca="1">IFERROR(INDEX(UNSPSCDes,MATCH(INDIRECT(ADDRESS(ROW(),COLUMN()-1,4)),UNSPSCCode,0)),IF(INDIRECT(ADDRESS(ROW(),COLUMN()-1,4))="47121701","Bolsas de basura",""))</f>
        <v>Bolsas de basura</v>
      </c>
      <c r="C577" s="32" t="str">
        <f>IFERROR(VLOOKUP("UD",'[1]Informacion '!P:Q,2,FALSE),"")</f>
        <v>Unidad</v>
      </c>
      <c r="D577" s="30">
        <v>60</v>
      </c>
      <c r="E577" s="33">
        <v>350</v>
      </c>
      <c r="F577" s="34">
        <f t="shared" ca="1" si="8"/>
        <v>21000</v>
      </c>
    </row>
    <row r="578" spans="1:6" ht="14.25" customHeight="1" x14ac:dyDescent="0.25">
      <c r="A578" s="30" t="s">
        <v>143</v>
      </c>
      <c r="B578" s="31" t="str">
        <f ca="1">IFERROR(INDEX(UNSPSCDes,MATCH(INDIRECT(ADDRESS(ROW(),COLUMN()-1,4)),UNSPSCCode,0)),IF(INDIRECT(ADDRESS(ROW(),COLUMN()-1,4))="47121701","Bolsas de basura",""))</f>
        <v>Bolsas de basura</v>
      </c>
      <c r="C578" s="32" t="str">
        <f>IFERROR(VLOOKUP("UD",'[1]Informacion '!P:Q,2,FALSE),"")</f>
        <v>Unidad</v>
      </c>
      <c r="D578" s="30">
        <v>60</v>
      </c>
      <c r="E578" s="33">
        <v>225</v>
      </c>
      <c r="F578" s="34">
        <f t="shared" ca="1" si="8"/>
        <v>13500</v>
      </c>
    </row>
    <row r="579" spans="1:6" ht="14.25" customHeight="1" x14ac:dyDescent="0.25">
      <c r="A579" s="30" t="s">
        <v>143</v>
      </c>
      <c r="B579" s="31" t="str">
        <f ca="1">IFERROR(INDEX(UNSPSCDes,MATCH(INDIRECT(ADDRESS(ROW(),COLUMN()-1,4)),UNSPSCCode,0)),IF(INDIRECT(ADDRESS(ROW(),COLUMN()-1,4))="47121701","Bolsas de basura",""))</f>
        <v>Bolsas de basura</v>
      </c>
      <c r="C579" s="32" t="str">
        <f>IFERROR(VLOOKUP("UD",'[1]Informacion '!P:Q,2,FALSE),"")</f>
        <v>Unidad</v>
      </c>
      <c r="D579" s="30">
        <v>70</v>
      </c>
      <c r="E579" s="33">
        <v>450</v>
      </c>
      <c r="F579" s="34">
        <f t="shared" ca="1" si="8"/>
        <v>31500</v>
      </c>
    </row>
    <row r="580" spans="1:6" ht="14.25" customHeight="1" x14ac:dyDescent="0.25">
      <c r="A580" s="30" t="s">
        <v>178</v>
      </c>
      <c r="B580" s="31" t="str">
        <f ca="1">IFERROR(INDEX(UNSPSCDes,MATCH(INDIRECT(ADDRESS(ROW(),COLUMN()-1,4)),UNSPSCCode,0)),IF(INDIRECT(ADDRESS(ROW(),COLUMN()-1,4))="47121702","Contenedores de desperdicios o revestimientos rígidos",""))</f>
        <v>Contenedores de desperdicios o revestimientos rígidos</v>
      </c>
      <c r="C580" s="32" t="str">
        <f>IFERROR(VLOOKUP("UD",'[1]Informacion '!P:Q,2,FALSE),"")</f>
        <v>Unidad</v>
      </c>
      <c r="D580" s="30">
        <v>20</v>
      </c>
      <c r="E580" s="33">
        <v>780</v>
      </c>
      <c r="F580" s="34">
        <f t="shared" ca="1" si="8"/>
        <v>15600</v>
      </c>
    </row>
    <row r="581" spans="1:6" ht="14.25" customHeight="1" x14ac:dyDescent="0.25">
      <c r="E581" s="35" t="s">
        <v>47</v>
      </c>
      <c r="F581" s="36">
        <f ca="1">SUM(Table45[MONTO TOTAL ESTIMADO])</f>
        <v>420000</v>
      </c>
    </row>
    <row r="583" spans="1:6" ht="33.950000000000003" customHeight="1" thickBot="1" x14ac:dyDescent="0.3">
      <c r="A583" s="21" t="s">
        <v>19</v>
      </c>
      <c r="B583" s="21" t="s">
        <v>20</v>
      </c>
      <c r="C583" s="21" t="s">
        <v>21</v>
      </c>
      <c r="D583" s="21" t="s">
        <v>22</v>
      </c>
      <c r="E583" s="21" t="s">
        <v>23</v>
      </c>
      <c r="F583" s="21" t="s">
        <v>24</v>
      </c>
    </row>
    <row r="584" spans="1:6" ht="14.25" customHeight="1" thickBot="1" x14ac:dyDescent="0.3">
      <c r="A584" s="23" t="s">
        <v>179</v>
      </c>
      <c r="B584" s="23" t="s">
        <v>179</v>
      </c>
      <c r="C584" s="23" t="s">
        <v>55</v>
      </c>
      <c r="D584" s="23" t="s">
        <v>62</v>
      </c>
      <c r="E584" s="23" t="s">
        <v>49</v>
      </c>
      <c r="F584" s="23"/>
    </row>
    <row r="585" spans="1:6" ht="14.25" customHeight="1" thickBot="1" x14ac:dyDescent="0.3">
      <c r="A585" s="39" t="s">
        <v>29</v>
      </c>
      <c r="B585" s="24" t="s">
        <v>30</v>
      </c>
      <c r="C585" s="25">
        <v>45943</v>
      </c>
      <c r="D585" s="39" t="s">
        <v>31</v>
      </c>
      <c r="E585" s="26" t="s">
        <v>32</v>
      </c>
      <c r="F585" s="27" t="s">
        <v>33</v>
      </c>
    </row>
    <row r="586" spans="1:6" ht="14.25" customHeight="1" thickBot="1" x14ac:dyDescent="0.3">
      <c r="A586" s="40"/>
      <c r="B586" s="24" t="s">
        <v>34</v>
      </c>
      <c r="C586" s="28">
        <f>IF(C585="","",IF(AND(MONTH(C585)&gt;=1,MONTH(C585)&lt;=3),1,IF(AND(MONTH(C585)&gt;=4,MONTH(C585)&lt;=6),2,IF(AND(MONTH(C585)&gt;=7,MONTH(C585)&lt;=9),3,4))))</f>
        <v>4</v>
      </c>
      <c r="D586" s="40"/>
      <c r="E586" s="26" t="s">
        <v>35</v>
      </c>
      <c r="F586" s="27" t="s">
        <v>36</v>
      </c>
    </row>
    <row r="587" spans="1:6" ht="14.25" customHeight="1" thickBot="1" x14ac:dyDescent="0.3">
      <c r="A587" s="40"/>
      <c r="B587" s="24" t="s">
        <v>37</v>
      </c>
      <c r="C587" s="25">
        <v>45957</v>
      </c>
      <c r="D587" s="40"/>
      <c r="E587" s="26" t="s">
        <v>38</v>
      </c>
      <c r="F587" s="27" t="s">
        <v>36</v>
      </c>
    </row>
    <row r="588" spans="1:6" ht="14.25" customHeight="1" thickBot="1" x14ac:dyDescent="0.3">
      <c r="A588" s="40"/>
      <c r="B588" s="24" t="s">
        <v>34</v>
      </c>
      <c r="C588" s="28">
        <f>IF(C587="","",IF(AND(MONTH(C587)&gt;=1,MONTH(C587)&lt;=3),1,IF(AND(MONTH(C587)&gt;=4,MONTH(C587)&lt;=6),2,IF(AND(MONTH(C587)&gt;=7,MONTH(C587)&lt;=9),3,4))))</f>
        <v>4</v>
      </c>
      <c r="D588" s="40"/>
      <c r="E588" s="26" t="s">
        <v>39</v>
      </c>
      <c r="F588" s="27"/>
    </row>
    <row r="590" spans="1:6" ht="14.25" customHeight="1" thickBot="1" x14ac:dyDescent="0.3">
      <c r="A590" s="29" t="s">
        <v>40</v>
      </c>
      <c r="B590" s="29" t="s">
        <v>41</v>
      </c>
      <c r="C590" s="29" t="s">
        <v>42</v>
      </c>
      <c r="D590" s="29" t="s">
        <v>43</v>
      </c>
      <c r="E590" s="29" t="s">
        <v>44</v>
      </c>
      <c r="F590" s="29" t="s">
        <v>45</v>
      </c>
    </row>
    <row r="591" spans="1:6" ht="14.25" customHeight="1" x14ac:dyDescent="0.25">
      <c r="A591" s="30" t="s">
        <v>150</v>
      </c>
      <c r="B591" s="31" t="str">
        <f ca="1">IFERROR(INDEX(UNSPSCDes,MATCH(INDIRECT(ADDRESS(ROW(),COLUMN()-1,4)),UNSPSCCode,0)),IF(INDIRECT(ADDRESS(ROW(),COLUMN()-1,4))="50201709","Café instantáneo",""))</f>
        <v>Café instantáneo</v>
      </c>
      <c r="C591" s="32" t="str">
        <f>IFERROR(VLOOKUP("UD",'[1]Informacion '!P:Q,2,FALSE),"")</f>
        <v>Unidad</v>
      </c>
      <c r="D591" s="30">
        <v>34</v>
      </c>
      <c r="E591" s="33">
        <v>5700</v>
      </c>
      <c r="F591" s="34">
        <f ca="1">INDIRECT(ADDRESS(ROW(),COLUMN()-2,4))*INDIRECT(ADDRESS(ROW(),COLUMN()-1,4))</f>
        <v>193800</v>
      </c>
    </row>
    <row r="592" spans="1:6" ht="14.25" customHeight="1" x14ac:dyDescent="0.25">
      <c r="A592" s="30" t="s">
        <v>180</v>
      </c>
      <c r="B592" s="31" t="str">
        <f ca="1">IFERROR(INDEX(UNSPSCDes,MATCH(INDIRECT(ADDRESS(ROW(),COLUMN()-1,4)),UNSPSCCode,0)),IF(INDIRECT(ADDRESS(ROW(),COLUMN()-1,4))="50161814","Azúcar o sustituto de azúcar, confite",""))</f>
        <v>Azúcar o sustituto de azúcar, confite</v>
      </c>
      <c r="C592" s="32" t="str">
        <f>IFERROR(VLOOKUP("UD",'[1]Informacion '!P:Q,2,FALSE),"")</f>
        <v>Unidad</v>
      </c>
      <c r="D592" s="30">
        <v>140</v>
      </c>
      <c r="E592" s="33">
        <v>180</v>
      </c>
      <c r="F592" s="34">
        <f ca="1">INDIRECT(ADDRESS(ROW(),COLUMN()-2,4))*INDIRECT(ADDRESS(ROW(),COLUMN()-1,4))</f>
        <v>25200</v>
      </c>
    </row>
    <row r="593" spans="1:6" ht="14.25" customHeight="1" x14ac:dyDescent="0.25">
      <c r="A593" s="30" t="s">
        <v>100</v>
      </c>
      <c r="B593" s="31" t="str">
        <f ca="1">IFERROR(INDEX(UNSPSCDes,MATCH(INDIRECT(ADDRESS(ROW(),COLUMN()-1,4)),UNSPSCCode,0)),IF(INDIRECT(ADDRESS(ROW(),COLUMN()-1,4))="50201711","Té instantáneo",""))</f>
        <v>Té instantáneo</v>
      </c>
      <c r="C593" s="32" t="str">
        <f>IFERROR(VLOOKUP("CAJ",'[1]Informacion '!P:Q,2,FALSE),"")</f>
        <v>Caja</v>
      </c>
      <c r="D593" s="30">
        <v>30</v>
      </c>
      <c r="E593" s="33">
        <v>160</v>
      </c>
      <c r="F593" s="34">
        <f ca="1">INDIRECT(ADDRESS(ROW(),COLUMN()-2,4))*INDIRECT(ADDRESS(ROW(),COLUMN()-1,4))</f>
        <v>4800</v>
      </c>
    </row>
    <row r="594" spans="1:6" ht="14.25" customHeight="1" x14ac:dyDescent="0.25">
      <c r="A594" s="30" t="s">
        <v>101</v>
      </c>
      <c r="B594" s="31" t="str">
        <f ca="1">IFERROR(INDEX(UNSPSCDes,MATCH(INDIRECT(ADDRESS(ROW(),COLUMN()-1,4)),UNSPSCCode,0)),IF(INDIRECT(ADDRESS(ROW(),COLUMN()-1,4))="50201714","Cremas no lácteas",""))</f>
        <v>Cremas no lácteas</v>
      </c>
      <c r="C594" s="32" t="str">
        <f>IFERROR(VLOOKUP("UD",'[1]Informacion '!P:Q,2,FALSE),"")</f>
        <v>Unidad</v>
      </c>
      <c r="D594" s="30">
        <v>20</v>
      </c>
      <c r="E594" s="33">
        <v>385</v>
      </c>
      <c r="F594" s="34">
        <f ca="1">INDIRECT(ADDRESS(ROW(),COLUMN()-2,4))*INDIRECT(ADDRESS(ROW(),COLUMN()-1,4))</f>
        <v>7700</v>
      </c>
    </row>
    <row r="595" spans="1:6" ht="14.25" customHeight="1" x14ac:dyDescent="0.25">
      <c r="E595" s="35" t="s">
        <v>47</v>
      </c>
      <c r="F595" s="36">
        <f ca="1">SUM(Table46[MONTO TOTAL ESTIMADO])</f>
        <v>231500</v>
      </c>
    </row>
    <row r="597" spans="1:6" ht="33.950000000000003" customHeight="1" thickBot="1" x14ac:dyDescent="0.3">
      <c r="A597" s="21" t="s">
        <v>19</v>
      </c>
      <c r="B597" s="21" t="s">
        <v>20</v>
      </c>
      <c r="C597" s="21" t="s">
        <v>21</v>
      </c>
      <c r="D597" s="21" t="s">
        <v>22</v>
      </c>
      <c r="E597" s="21" t="s">
        <v>23</v>
      </c>
      <c r="F597" s="21" t="s">
        <v>24</v>
      </c>
    </row>
    <row r="598" spans="1:6" ht="14.25" customHeight="1" thickBot="1" x14ac:dyDescent="0.3">
      <c r="A598" s="23" t="s">
        <v>181</v>
      </c>
      <c r="B598" s="23" t="s">
        <v>181</v>
      </c>
      <c r="C598" s="23" t="s">
        <v>26</v>
      </c>
      <c r="D598" s="23" t="s">
        <v>27</v>
      </c>
      <c r="E598" s="23" t="s">
        <v>49</v>
      </c>
      <c r="F598" s="23"/>
    </row>
    <row r="599" spans="1:6" ht="14.25" customHeight="1" thickBot="1" x14ac:dyDescent="0.3">
      <c r="A599" s="39" t="s">
        <v>29</v>
      </c>
      <c r="B599" s="24" t="s">
        <v>30</v>
      </c>
      <c r="C599" s="25">
        <v>45761</v>
      </c>
      <c r="D599" s="39" t="s">
        <v>31</v>
      </c>
      <c r="E599" s="26" t="s">
        <v>32</v>
      </c>
      <c r="F599" s="27" t="s">
        <v>33</v>
      </c>
    </row>
    <row r="600" spans="1:6" ht="14.25" customHeight="1" thickBot="1" x14ac:dyDescent="0.3">
      <c r="A600" s="40"/>
      <c r="B600" s="24" t="s">
        <v>34</v>
      </c>
      <c r="C600" s="28">
        <f>IF(C599="","",IF(AND(MONTH(C599)&gt;=1,MONTH(C599)&lt;=3),1,IF(AND(MONTH(C599)&gt;=4,MONTH(C599)&lt;=6),2,IF(AND(MONTH(C599)&gt;=7,MONTH(C599)&lt;=9),3,4))))</f>
        <v>2</v>
      </c>
      <c r="D600" s="40"/>
      <c r="E600" s="26" t="s">
        <v>35</v>
      </c>
      <c r="F600" s="27" t="s">
        <v>36</v>
      </c>
    </row>
    <row r="601" spans="1:6" ht="14.25" customHeight="1" thickBot="1" x14ac:dyDescent="0.3">
      <c r="A601" s="40"/>
      <c r="B601" s="24" t="s">
        <v>37</v>
      </c>
      <c r="C601" s="25">
        <v>45768</v>
      </c>
      <c r="D601" s="40"/>
      <c r="E601" s="26" t="s">
        <v>38</v>
      </c>
      <c r="F601" s="27" t="s">
        <v>36</v>
      </c>
    </row>
    <row r="602" spans="1:6" ht="14.25" customHeight="1" thickBot="1" x14ac:dyDescent="0.3">
      <c r="A602" s="40"/>
      <c r="B602" s="24" t="s">
        <v>34</v>
      </c>
      <c r="C602" s="28">
        <f>IF(C601="","",IF(AND(MONTH(C601)&gt;=1,MONTH(C601)&lt;=3),1,IF(AND(MONTH(C601)&gt;=4,MONTH(C601)&lt;=6),2,IF(AND(MONTH(C601)&gt;=7,MONTH(C601)&lt;=9),3,4))))</f>
        <v>2</v>
      </c>
      <c r="D602" s="40"/>
      <c r="E602" s="26" t="s">
        <v>39</v>
      </c>
      <c r="F602" s="27"/>
    </row>
    <row r="604" spans="1:6" ht="14.25" customHeight="1" thickBot="1" x14ac:dyDescent="0.3">
      <c r="A604" s="29" t="s">
        <v>40</v>
      </c>
      <c r="B604" s="29" t="s">
        <v>41</v>
      </c>
      <c r="C604" s="29" t="s">
        <v>42</v>
      </c>
      <c r="D604" s="29" t="s">
        <v>43</v>
      </c>
      <c r="E604" s="29" t="s">
        <v>44</v>
      </c>
      <c r="F604" s="29" t="s">
        <v>45</v>
      </c>
    </row>
    <row r="605" spans="1:6" ht="14.25" customHeight="1" x14ac:dyDescent="0.25">
      <c r="A605" s="30" t="s">
        <v>182</v>
      </c>
      <c r="B605" s="31" t="str">
        <f ca="1">IFERROR(INDEX(UNSPSCDes,MATCH(INDIRECT(ADDRESS(ROW(),COLUMN()-1,4)),UNSPSCCode,0)),IF(INDIRECT(ADDRESS(ROW(),COLUMN()-1,4))="91111502","Servicios de lavandería",""))</f>
        <v>Servicios de lavandería</v>
      </c>
      <c r="C605" s="32" t="str">
        <f>IFERROR(VLOOKUP("UD",'[1]Informacion '!P:Q,2,FALSE),"")</f>
        <v>Unidad</v>
      </c>
      <c r="D605" s="30">
        <v>1</v>
      </c>
      <c r="E605" s="33">
        <v>40000</v>
      </c>
      <c r="F605" s="34">
        <f ca="1">INDIRECT(ADDRESS(ROW(),COLUMN()-2,4))*INDIRECT(ADDRESS(ROW(),COLUMN()-1,4))</f>
        <v>40000</v>
      </c>
    </row>
    <row r="606" spans="1:6" ht="14.25" customHeight="1" x14ac:dyDescent="0.25">
      <c r="E606" s="35" t="s">
        <v>47</v>
      </c>
      <c r="F606" s="36">
        <f ca="1">SUM(Table47[MONTO TOTAL ESTIMADO])</f>
        <v>40000</v>
      </c>
    </row>
    <row r="608" spans="1:6" ht="33.950000000000003" customHeight="1" thickBot="1" x14ac:dyDescent="0.3">
      <c r="A608" s="21" t="s">
        <v>19</v>
      </c>
      <c r="B608" s="21" t="s">
        <v>20</v>
      </c>
      <c r="C608" s="21" t="s">
        <v>21</v>
      </c>
      <c r="D608" s="21" t="s">
        <v>22</v>
      </c>
      <c r="E608" s="21" t="s">
        <v>23</v>
      </c>
      <c r="F608" s="21" t="s">
        <v>24</v>
      </c>
    </row>
    <row r="609" spans="1:6" ht="14.25" customHeight="1" thickBot="1" x14ac:dyDescent="0.3">
      <c r="A609" s="23" t="s">
        <v>183</v>
      </c>
      <c r="B609" s="23" t="s">
        <v>183</v>
      </c>
      <c r="C609" s="23" t="s">
        <v>26</v>
      </c>
      <c r="D609" s="23" t="s">
        <v>62</v>
      </c>
      <c r="E609" s="23" t="s">
        <v>49</v>
      </c>
      <c r="F609" s="23"/>
    </row>
    <row r="610" spans="1:6" ht="14.25" customHeight="1" thickBot="1" x14ac:dyDescent="0.3">
      <c r="A610" s="39" t="s">
        <v>29</v>
      </c>
      <c r="B610" s="24" t="s">
        <v>30</v>
      </c>
      <c r="C610" s="25">
        <v>45782</v>
      </c>
      <c r="D610" s="39" t="s">
        <v>31</v>
      </c>
      <c r="E610" s="26" t="s">
        <v>32</v>
      </c>
      <c r="F610" s="27" t="s">
        <v>33</v>
      </c>
    </row>
    <row r="611" spans="1:6" ht="14.25" customHeight="1" thickBot="1" x14ac:dyDescent="0.3">
      <c r="A611" s="40"/>
      <c r="B611" s="24" t="s">
        <v>34</v>
      </c>
      <c r="C611" s="28">
        <f>IF(C610="","",IF(AND(MONTH(C610)&gt;=1,MONTH(C610)&lt;=3),1,IF(AND(MONTH(C610)&gt;=4,MONTH(C610)&lt;=6),2,IF(AND(MONTH(C610)&gt;=7,MONTH(C610)&lt;=9),3,4))))</f>
        <v>2</v>
      </c>
      <c r="D611" s="40"/>
      <c r="E611" s="26" t="s">
        <v>35</v>
      </c>
      <c r="F611" s="27" t="s">
        <v>36</v>
      </c>
    </row>
    <row r="612" spans="1:6" ht="14.25" customHeight="1" thickBot="1" x14ac:dyDescent="0.3">
      <c r="A612" s="40"/>
      <c r="B612" s="24" t="s">
        <v>37</v>
      </c>
      <c r="C612" s="25">
        <v>45796</v>
      </c>
      <c r="D612" s="40"/>
      <c r="E612" s="26" t="s">
        <v>38</v>
      </c>
      <c r="F612" s="27" t="s">
        <v>36</v>
      </c>
    </row>
    <row r="613" spans="1:6" ht="14.25" customHeight="1" thickBot="1" x14ac:dyDescent="0.3">
      <c r="A613" s="40"/>
      <c r="B613" s="24" t="s">
        <v>34</v>
      </c>
      <c r="C613" s="28">
        <f>IF(C612="","",IF(AND(MONTH(C612)&gt;=1,MONTH(C612)&lt;=3),1,IF(AND(MONTH(C612)&gt;=4,MONTH(C612)&lt;=6),2,IF(AND(MONTH(C612)&gt;=7,MONTH(C612)&lt;=9),3,4))))</f>
        <v>2</v>
      </c>
      <c r="D613" s="40"/>
      <c r="E613" s="26" t="s">
        <v>39</v>
      </c>
      <c r="F613" s="27"/>
    </row>
    <row r="615" spans="1:6" ht="14.25" customHeight="1" thickBot="1" x14ac:dyDescent="0.3">
      <c r="A615" s="29" t="s">
        <v>40</v>
      </c>
      <c r="B615" s="29" t="s">
        <v>41</v>
      </c>
      <c r="C615" s="29" t="s">
        <v>42</v>
      </c>
      <c r="D615" s="29" t="s">
        <v>43</v>
      </c>
      <c r="E615" s="29" t="s">
        <v>44</v>
      </c>
      <c r="F615" s="29" t="s">
        <v>45</v>
      </c>
    </row>
    <row r="616" spans="1:6" ht="14.25" customHeight="1" x14ac:dyDescent="0.25">
      <c r="A616" s="30" t="s">
        <v>184</v>
      </c>
      <c r="B616" s="31" t="str">
        <f ca="1">IFERROR(INDEX(UNSPSCDes,MATCH(INDIRECT(ADDRESS(ROW(),COLUMN()-1,4)),UNSPSCCode,0)),IF(INDIRECT(ADDRESS(ROW(),COLUMN()-1,4))="78180107","Reparación y mantenimiento de automóvil y de camiones ligeros",""))</f>
        <v>Reparación y mantenimiento de automóvil y de camiones ligeros</v>
      </c>
      <c r="C616" s="32" t="str">
        <f>IFERROR(VLOOKUP("UD",'[1]Informacion '!P:Q,2,FALSE),"")</f>
        <v>Unidad</v>
      </c>
      <c r="D616" s="30">
        <v>1</v>
      </c>
      <c r="E616" s="33">
        <v>800000</v>
      </c>
      <c r="F616" s="34">
        <f ca="1">INDIRECT(ADDRESS(ROW(),COLUMN()-2,4))*INDIRECT(ADDRESS(ROW(),COLUMN()-1,4))</f>
        <v>800000</v>
      </c>
    </row>
    <row r="617" spans="1:6" ht="14.25" customHeight="1" x14ac:dyDescent="0.25">
      <c r="E617" s="35" t="s">
        <v>47</v>
      </c>
      <c r="F617" s="36">
        <f ca="1">SUM(Table48[MONTO TOTAL ESTIMADO])</f>
        <v>800000</v>
      </c>
    </row>
    <row r="619" spans="1:6" ht="33.950000000000003" customHeight="1" thickBot="1" x14ac:dyDescent="0.3">
      <c r="A619" s="21" t="s">
        <v>19</v>
      </c>
      <c r="B619" s="21" t="s">
        <v>20</v>
      </c>
      <c r="C619" s="21" t="s">
        <v>21</v>
      </c>
      <c r="D619" s="21" t="s">
        <v>22</v>
      </c>
      <c r="E619" s="21" t="s">
        <v>23</v>
      </c>
      <c r="F619" s="21" t="s">
        <v>24</v>
      </c>
    </row>
    <row r="620" spans="1:6" ht="14.25" customHeight="1" thickBot="1" x14ac:dyDescent="0.3">
      <c r="A620" s="23" t="s">
        <v>185</v>
      </c>
      <c r="B620" s="23" t="s">
        <v>185</v>
      </c>
      <c r="C620" s="23" t="s">
        <v>55</v>
      </c>
      <c r="D620" s="23" t="s">
        <v>62</v>
      </c>
      <c r="E620" s="23" t="s">
        <v>49</v>
      </c>
      <c r="F620" s="23"/>
    </row>
    <row r="621" spans="1:6" ht="14.25" customHeight="1" thickBot="1" x14ac:dyDescent="0.3">
      <c r="A621" s="39" t="s">
        <v>29</v>
      </c>
      <c r="B621" s="24" t="s">
        <v>30</v>
      </c>
      <c r="C621" s="25">
        <v>45824</v>
      </c>
      <c r="D621" s="39" t="s">
        <v>31</v>
      </c>
      <c r="E621" s="26" t="s">
        <v>32</v>
      </c>
      <c r="F621" s="27" t="s">
        <v>33</v>
      </c>
    </row>
    <row r="622" spans="1:6" ht="14.25" customHeight="1" thickBot="1" x14ac:dyDescent="0.3">
      <c r="A622" s="40"/>
      <c r="B622" s="24" t="s">
        <v>34</v>
      </c>
      <c r="C622" s="28">
        <f>IF(C621="","",IF(AND(MONTH(C621)&gt;=1,MONTH(C621)&lt;=3),1,IF(AND(MONTH(C621)&gt;=4,MONTH(C621)&lt;=6),2,IF(AND(MONTH(C621)&gt;=7,MONTH(C621)&lt;=9),3,4))))</f>
        <v>2</v>
      </c>
      <c r="D622" s="40"/>
      <c r="E622" s="26" t="s">
        <v>35</v>
      </c>
      <c r="F622" s="27" t="s">
        <v>36</v>
      </c>
    </row>
    <row r="623" spans="1:6" ht="14.25" customHeight="1" thickBot="1" x14ac:dyDescent="0.3">
      <c r="A623" s="40"/>
      <c r="B623" s="24" t="s">
        <v>37</v>
      </c>
      <c r="C623" s="25">
        <v>45838</v>
      </c>
      <c r="D623" s="40"/>
      <c r="E623" s="26" t="s">
        <v>38</v>
      </c>
      <c r="F623" s="27" t="s">
        <v>36</v>
      </c>
    </row>
    <row r="624" spans="1:6" ht="14.25" customHeight="1" thickBot="1" x14ac:dyDescent="0.3">
      <c r="A624" s="40"/>
      <c r="B624" s="24" t="s">
        <v>34</v>
      </c>
      <c r="C624" s="28">
        <f>IF(C623="","",IF(AND(MONTH(C623)&gt;=1,MONTH(C623)&lt;=3),1,IF(AND(MONTH(C623)&gt;=4,MONTH(C623)&lt;=6),2,IF(AND(MONTH(C623)&gt;=7,MONTH(C623)&lt;=9),3,4))))</f>
        <v>2</v>
      </c>
      <c r="D624" s="40"/>
      <c r="E624" s="26" t="s">
        <v>39</v>
      </c>
      <c r="F624" s="27"/>
    </row>
    <row r="626" spans="1:6" ht="14.25" customHeight="1" thickBot="1" x14ac:dyDescent="0.3">
      <c r="A626" s="29" t="s">
        <v>40</v>
      </c>
      <c r="B626" s="29" t="s">
        <v>41</v>
      </c>
      <c r="C626" s="29" t="s">
        <v>42</v>
      </c>
      <c r="D626" s="29" t="s">
        <v>43</v>
      </c>
      <c r="E626" s="29" t="s">
        <v>44</v>
      </c>
      <c r="F626" s="29" t="s">
        <v>45</v>
      </c>
    </row>
    <row r="627" spans="1:6" ht="14.25" customHeight="1" x14ac:dyDescent="0.25">
      <c r="A627" s="30" t="s">
        <v>186</v>
      </c>
      <c r="B627" s="31" t="str">
        <f ca="1">IFERROR(INDEX(UNSPSCDes,MATCH(INDIRECT(ADDRESS(ROW(),COLUMN()-1,4)),UNSPSCCode,0)),IF(INDIRECT(ADDRESS(ROW(),COLUMN()-1,4))="12352310","Siliconas",""))</f>
        <v>Siliconas</v>
      </c>
      <c r="C627" s="32" t="str">
        <f>IFERROR(VLOOKUP("UD",'[1]Informacion '!P:Q,2,FALSE),"")</f>
        <v>Unidad</v>
      </c>
      <c r="D627" s="30">
        <v>6</v>
      </c>
      <c r="E627" s="33">
        <v>500</v>
      </c>
      <c r="F627" s="34">
        <f t="shared" ref="F627:F690" ca="1" si="9">INDIRECT(ADDRESS(ROW(),COLUMN()-2,4))*INDIRECT(ADDRESS(ROW(),COLUMN()-1,4))</f>
        <v>3000</v>
      </c>
    </row>
    <row r="628" spans="1:6" ht="14.25" customHeight="1" x14ac:dyDescent="0.25">
      <c r="A628" s="30" t="s">
        <v>186</v>
      </c>
      <c r="B628" s="31" t="str">
        <f ca="1">IFERROR(INDEX(UNSPSCDes,MATCH(INDIRECT(ADDRESS(ROW(),COLUMN()-1,4)),UNSPSCCode,0)),IF(INDIRECT(ADDRESS(ROW(),COLUMN()-1,4))="12352310","Siliconas",""))</f>
        <v>Siliconas</v>
      </c>
      <c r="C628" s="32" t="str">
        <f>IFERROR(VLOOKUP("UD",'[1]Informacion '!P:Q,2,FALSE),"")</f>
        <v>Unidad</v>
      </c>
      <c r="D628" s="30">
        <v>3</v>
      </c>
      <c r="E628" s="33">
        <v>500</v>
      </c>
      <c r="F628" s="34">
        <f t="shared" ca="1" si="9"/>
        <v>1500</v>
      </c>
    </row>
    <row r="629" spans="1:6" ht="14.25" customHeight="1" x14ac:dyDescent="0.25">
      <c r="A629" s="30" t="s">
        <v>186</v>
      </c>
      <c r="B629" s="31" t="str">
        <f ca="1">IFERROR(INDEX(UNSPSCDes,MATCH(INDIRECT(ADDRESS(ROW(),COLUMN()-1,4)),UNSPSCCode,0)),IF(INDIRECT(ADDRESS(ROW(),COLUMN()-1,4))="12352310","Siliconas",""))</f>
        <v>Siliconas</v>
      </c>
      <c r="C629" s="32" t="str">
        <f>IFERROR(VLOOKUP("UD",'[1]Informacion '!P:Q,2,FALSE),"")</f>
        <v>Unidad</v>
      </c>
      <c r="D629" s="30">
        <v>12</v>
      </c>
      <c r="E629" s="33">
        <v>500</v>
      </c>
      <c r="F629" s="34">
        <f t="shared" ca="1" si="9"/>
        <v>6000</v>
      </c>
    </row>
    <row r="630" spans="1:6" ht="14.25" customHeight="1" x14ac:dyDescent="0.25">
      <c r="A630" s="30" t="s">
        <v>186</v>
      </c>
      <c r="B630" s="31" t="str">
        <f ca="1">IFERROR(INDEX(UNSPSCDes,MATCH(INDIRECT(ADDRESS(ROW(),COLUMN()-1,4)),UNSPSCCode,0)),IF(INDIRECT(ADDRESS(ROW(),COLUMN()-1,4))="12352310","Siliconas",""))</f>
        <v>Siliconas</v>
      </c>
      <c r="C630" s="32" t="str">
        <f>IFERROR(VLOOKUP("UD",'[1]Informacion '!P:Q,2,FALSE),"")</f>
        <v>Unidad</v>
      </c>
      <c r="D630" s="30">
        <v>2</v>
      </c>
      <c r="E630" s="33">
        <v>500</v>
      </c>
      <c r="F630" s="34">
        <f t="shared" ca="1" si="9"/>
        <v>1000</v>
      </c>
    </row>
    <row r="631" spans="1:6" ht="14.25" customHeight="1" x14ac:dyDescent="0.25">
      <c r="A631" s="30" t="s">
        <v>187</v>
      </c>
      <c r="B631" s="31" t="str">
        <f ca="1">IFERROR(INDEX(UNSPSCDes,MATCH(INDIRECT(ADDRESS(ROW(),COLUMN()-1,4)),UNSPSCCode,0)),IF(INDIRECT(ADDRESS(ROW(),COLUMN()-1,4))="13111056","Cloruro de polivinilo clorado",""))</f>
        <v>Cloruro de polivinilo clorado</v>
      </c>
      <c r="C631" s="32" t="str">
        <f>IFERROR(VLOOKUP("UD",'[1]Informacion '!P:Q,2,FALSE),"")</f>
        <v>Unidad</v>
      </c>
      <c r="D631" s="30">
        <v>3</v>
      </c>
      <c r="E631" s="33">
        <v>500</v>
      </c>
      <c r="F631" s="34">
        <f t="shared" ca="1" si="9"/>
        <v>1500</v>
      </c>
    </row>
    <row r="632" spans="1:6" ht="14.25" customHeight="1" x14ac:dyDescent="0.25">
      <c r="A632" s="30" t="s">
        <v>188</v>
      </c>
      <c r="B632" s="31" t="str">
        <f ca="1">IFERROR(INDEX(UNSPSCDes,MATCH(INDIRECT(ADDRESS(ROW(),COLUMN()-1,4)),UNSPSCCode,0)),IF(INDIRECT(ADDRESS(ROW(),COLUMN()-1,4))="15121508","Aceite de transmisión",""))</f>
        <v>Aceite de transmisión</v>
      </c>
      <c r="C632" s="32" t="str">
        <f>IFERROR(VLOOKUP("GAL",'[1]Informacion '!P:Q,2,FALSE),"")</f>
        <v>Galón</v>
      </c>
      <c r="D632" s="30">
        <v>10</v>
      </c>
      <c r="E632" s="33">
        <v>2000</v>
      </c>
      <c r="F632" s="34">
        <f t="shared" ca="1" si="9"/>
        <v>20000</v>
      </c>
    </row>
    <row r="633" spans="1:6" ht="14.25" customHeight="1" x14ac:dyDescent="0.25">
      <c r="A633" s="30" t="s">
        <v>188</v>
      </c>
      <c r="B633" s="31" t="str">
        <f ca="1">IFERROR(INDEX(UNSPSCDes,MATCH(INDIRECT(ADDRESS(ROW(),COLUMN()-1,4)),UNSPSCCode,0)),IF(INDIRECT(ADDRESS(ROW(),COLUMN()-1,4))="15121508","Aceite de transmisión",""))</f>
        <v>Aceite de transmisión</v>
      </c>
      <c r="C633" s="32" t="str">
        <f>IFERROR(VLOOKUP("UD",'[1]Informacion '!P:Q,2,FALSE),"")</f>
        <v>Unidad</v>
      </c>
      <c r="D633" s="30">
        <v>4</v>
      </c>
      <c r="E633" s="33">
        <v>500</v>
      </c>
      <c r="F633" s="34">
        <f t="shared" ca="1" si="9"/>
        <v>2000</v>
      </c>
    </row>
    <row r="634" spans="1:6" ht="14.25" customHeight="1" x14ac:dyDescent="0.25">
      <c r="A634" s="30" t="s">
        <v>188</v>
      </c>
      <c r="B634" s="31" t="str">
        <f ca="1">IFERROR(INDEX(UNSPSCDes,MATCH(INDIRECT(ADDRESS(ROW(),COLUMN()-1,4)),UNSPSCCode,0)),IF(INDIRECT(ADDRESS(ROW(),COLUMN()-1,4))="15121508","Aceite de transmisión",""))</f>
        <v>Aceite de transmisión</v>
      </c>
      <c r="C634" s="32" t="str">
        <f>IFERROR(VLOOKUP("UD",'[1]Informacion '!P:Q,2,FALSE),"")</f>
        <v>Unidad</v>
      </c>
      <c r="D634" s="30">
        <v>20</v>
      </c>
      <c r="E634" s="33">
        <v>400</v>
      </c>
      <c r="F634" s="34">
        <f t="shared" ca="1" si="9"/>
        <v>8000</v>
      </c>
    </row>
    <row r="635" spans="1:6" ht="14.25" customHeight="1" x14ac:dyDescent="0.25">
      <c r="A635" s="30" t="s">
        <v>189</v>
      </c>
      <c r="B635" s="31" t="str">
        <f ca="1">IFERROR(INDEX(UNSPSCDes,MATCH(INDIRECT(ADDRESS(ROW(),COLUMN()-1,4)),UNSPSCCode,0)),IF(INDIRECT(ADDRESS(ROW(),COLUMN()-1,4))="15121806","Aceites penetrantes",""))</f>
        <v>Aceites penetrantes</v>
      </c>
      <c r="C635" s="32" t="str">
        <f>IFERROR(VLOOKUP("UD",'[1]Informacion '!P:Q,2,FALSE),"")</f>
        <v>Unidad</v>
      </c>
      <c r="D635" s="30">
        <v>3</v>
      </c>
      <c r="E635" s="33">
        <v>400</v>
      </c>
      <c r="F635" s="34">
        <f t="shared" ca="1" si="9"/>
        <v>1200</v>
      </c>
    </row>
    <row r="636" spans="1:6" ht="14.25" customHeight="1" x14ac:dyDescent="0.25">
      <c r="A636" s="30" t="s">
        <v>190</v>
      </c>
      <c r="B636" s="31" t="str">
        <f ca="1">IFERROR(INDEX(UNSPSCDes,MATCH(INDIRECT(ADDRESS(ROW(),COLUMN()-1,4)),UNSPSCCode,0)),IF(INDIRECT(ADDRESS(ROW(),COLUMN()-1,4))="23131507","Tela para lijar",""))</f>
        <v>Tela para lijar</v>
      </c>
      <c r="C636" s="32" t="str">
        <f>IFERROR(VLOOKUP("UD",'[1]Informacion '!P:Q,2,FALSE),"")</f>
        <v>Unidad</v>
      </c>
      <c r="D636" s="30">
        <v>12</v>
      </c>
      <c r="E636" s="33">
        <v>50</v>
      </c>
      <c r="F636" s="34">
        <f t="shared" ca="1" si="9"/>
        <v>600</v>
      </c>
    </row>
    <row r="637" spans="1:6" ht="14.25" customHeight="1" x14ac:dyDescent="0.25">
      <c r="A637" s="30" t="s">
        <v>190</v>
      </c>
      <c r="B637" s="31" t="str">
        <f ca="1">IFERROR(INDEX(UNSPSCDes,MATCH(INDIRECT(ADDRESS(ROW(),COLUMN()-1,4)),UNSPSCCode,0)),IF(INDIRECT(ADDRESS(ROW(),COLUMN()-1,4))="23131507","Tela para lijar",""))</f>
        <v>Tela para lijar</v>
      </c>
      <c r="C637" s="32" t="str">
        <f>IFERROR(VLOOKUP("UD",'[1]Informacion '!P:Q,2,FALSE),"")</f>
        <v>Unidad</v>
      </c>
      <c r="D637" s="30">
        <v>12</v>
      </c>
      <c r="E637" s="33">
        <v>50</v>
      </c>
      <c r="F637" s="34">
        <f t="shared" ca="1" si="9"/>
        <v>600</v>
      </c>
    </row>
    <row r="638" spans="1:6" ht="14.25" customHeight="1" x14ac:dyDescent="0.25">
      <c r="A638" s="30" t="s">
        <v>190</v>
      </c>
      <c r="B638" s="31" t="str">
        <f ca="1">IFERROR(INDEX(UNSPSCDes,MATCH(INDIRECT(ADDRESS(ROW(),COLUMN()-1,4)),UNSPSCCode,0)),IF(INDIRECT(ADDRESS(ROW(),COLUMN()-1,4))="23131507","Tela para lijar",""))</f>
        <v>Tela para lijar</v>
      </c>
      <c r="C638" s="32" t="str">
        <f>IFERROR(VLOOKUP("UD",'[1]Informacion '!P:Q,2,FALSE),"")</f>
        <v>Unidad</v>
      </c>
      <c r="D638" s="30">
        <v>12</v>
      </c>
      <c r="E638" s="33">
        <v>50</v>
      </c>
      <c r="F638" s="34">
        <f t="shared" ca="1" si="9"/>
        <v>600</v>
      </c>
    </row>
    <row r="639" spans="1:6" ht="14.25" customHeight="1" x14ac:dyDescent="0.25">
      <c r="A639" s="30" t="s">
        <v>191</v>
      </c>
      <c r="B639" s="31" t="str">
        <f ca="1">IFERROR(INDEX(UNSPSCDes,MATCH(INDIRECT(ADDRESS(ROW(),COLUMN()-1,4)),UNSPSCCode,0)),IF(INDIRECT(ADDRESS(ROW(),COLUMN()-1,4))="27111507","Cortadores de metal",""))</f>
        <v>Cortadores de metal</v>
      </c>
      <c r="C639" s="32" t="str">
        <f>IFERROR(VLOOKUP("UD",'[1]Informacion '!P:Q,2,FALSE),"")</f>
        <v>Unidad</v>
      </c>
      <c r="D639" s="30">
        <v>2</v>
      </c>
      <c r="E639" s="33">
        <v>300</v>
      </c>
      <c r="F639" s="34">
        <f t="shared" ca="1" si="9"/>
        <v>600</v>
      </c>
    </row>
    <row r="640" spans="1:6" ht="14.25" customHeight="1" x14ac:dyDescent="0.25">
      <c r="A640" s="30" t="s">
        <v>191</v>
      </c>
      <c r="B640" s="31" t="str">
        <f ca="1">IFERROR(INDEX(UNSPSCDes,MATCH(INDIRECT(ADDRESS(ROW(),COLUMN()-1,4)),UNSPSCCode,0)),IF(INDIRECT(ADDRESS(ROW(),COLUMN()-1,4))="27111507","Cortadores de metal",""))</f>
        <v>Cortadores de metal</v>
      </c>
      <c r="C640" s="32" t="str">
        <f>IFERROR(VLOOKUP("UD",'[1]Informacion '!P:Q,2,FALSE),"")</f>
        <v>Unidad</v>
      </c>
      <c r="D640" s="30">
        <v>10</v>
      </c>
      <c r="E640" s="33">
        <v>150</v>
      </c>
      <c r="F640" s="34">
        <f t="shared" ca="1" si="9"/>
        <v>1500</v>
      </c>
    </row>
    <row r="641" spans="1:6" ht="14.25" customHeight="1" x14ac:dyDescent="0.25">
      <c r="A641" s="30" t="s">
        <v>191</v>
      </c>
      <c r="B641" s="31" t="str">
        <f ca="1">IFERROR(INDEX(UNSPSCDes,MATCH(INDIRECT(ADDRESS(ROW(),COLUMN()-1,4)),UNSPSCCode,0)),IF(INDIRECT(ADDRESS(ROW(),COLUMN()-1,4))="27111507","Cortadores de metal",""))</f>
        <v>Cortadores de metal</v>
      </c>
      <c r="C641" s="32" t="str">
        <f>IFERROR(VLOOKUP("UD",'[1]Informacion '!P:Q,2,FALSE),"")</f>
        <v>Unidad</v>
      </c>
      <c r="D641" s="30">
        <v>3</v>
      </c>
      <c r="E641" s="33">
        <v>200</v>
      </c>
      <c r="F641" s="34">
        <f t="shared" ca="1" si="9"/>
        <v>600</v>
      </c>
    </row>
    <row r="642" spans="1:6" ht="14.25" customHeight="1" x14ac:dyDescent="0.25">
      <c r="A642" s="30" t="s">
        <v>192</v>
      </c>
      <c r="B642" s="31" t="str">
        <f t="shared" ref="B642:B649" ca="1" si="10">IFERROR(INDEX(UNSPSCDes,MATCH(INDIRECT(ADDRESS(ROW(),COLUMN()-1,4)),UNSPSCCode,0)),IF(INDIRECT(ADDRESS(ROW(),COLUMN()-1,4))="27111509","Barrenas",""))</f>
        <v>Barrenas</v>
      </c>
      <c r="C642" s="32" t="str">
        <f>IFERROR(VLOOKUP("UD",'[1]Informacion '!P:Q,2,FALSE),"")</f>
        <v>Unidad</v>
      </c>
      <c r="D642" s="30">
        <v>1</v>
      </c>
      <c r="E642" s="33">
        <v>500</v>
      </c>
      <c r="F642" s="34">
        <f t="shared" ca="1" si="9"/>
        <v>500</v>
      </c>
    </row>
    <row r="643" spans="1:6" ht="14.25" customHeight="1" x14ac:dyDescent="0.25">
      <c r="A643" s="30" t="s">
        <v>192</v>
      </c>
      <c r="B643" s="31" t="str">
        <f t="shared" ca="1" si="10"/>
        <v>Barrenas</v>
      </c>
      <c r="C643" s="32" t="str">
        <f>IFERROR(VLOOKUP("UD",'[1]Informacion '!P:Q,2,FALSE),"")</f>
        <v>Unidad</v>
      </c>
      <c r="D643" s="30">
        <v>1</v>
      </c>
      <c r="E643" s="33">
        <v>400</v>
      </c>
      <c r="F643" s="34">
        <f t="shared" ca="1" si="9"/>
        <v>400</v>
      </c>
    </row>
    <row r="644" spans="1:6" ht="14.25" customHeight="1" x14ac:dyDescent="0.25">
      <c r="A644" s="30" t="s">
        <v>192</v>
      </c>
      <c r="B644" s="31" t="str">
        <f t="shared" ca="1" si="10"/>
        <v>Barrenas</v>
      </c>
      <c r="C644" s="32" t="str">
        <f>IFERROR(VLOOKUP("UD",'[1]Informacion '!P:Q,2,FALSE),"")</f>
        <v>Unidad</v>
      </c>
      <c r="D644" s="30">
        <v>1</v>
      </c>
      <c r="E644" s="33">
        <v>400</v>
      </c>
      <c r="F644" s="34">
        <f t="shared" ca="1" si="9"/>
        <v>400</v>
      </c>
    </row>
    <row r="645" spans="1:6" ht="14.25" customHeight="1" x14ac:dyDescent="0.25">
      <c r="A645" s="30" t="s">
        <v>192</v>
      </c>
      <c r="B645" s="31" t="str">
        <f t="shared" ca="1" si="10"/>
        <v>Barrenas</v>
      </c>
      <c r="C645" s="32" t="str">
        <f>IFERROR(VLOOKUP("UD",'[1]Informacion '!P:Q,2,FALSE),"")</f>
        <v>Unidad</v>
      </c>
      <c r="D645" s="30">
        <v>3</v>
      </c>
      <c r="E645" s="33">
        <v>150</v>
      </c>
      <c r="F645" s="34">
        <f t="shared" ca="1" si="9"/>
        <v>450</v>
      </c>
    </row>
    <row r="646" spans="1:6" ht="14.25" customHeight="1" x14ac:dyDescent="0.25">
      <c r="A646" s="30" t="s">
        <v>192</v>
      </c>
      <c r="B646" s="31" t="str">
        <f t="shared" ca="1" si="10"/>
        <v>Barrenas</v>
      </c>
      <c r="C646" s="32" t="str">
        <f>IFERROR(VLOOKUP("UD",'[1]Informacion '!P:Q,2,FALSE),"")</f>
        <v>Unidad</v>
      </c>
      <c r="D646" s="30">
        <v>6</v>
      </c>
      <c r="E646" s="33">
        <v>100</v>
      </c>
      <c r="F646" s="34">
        <f t="shared" ca="1" si="9"/>
        <v>600</v>
      </c>
    </row>
    <row r="647" spans="1:6" ht="14.25" customHeight="1" x14ac:dyDescent="0.25">
      <c r="A647" s="30" t="s">
        <v>192</v>
      </c>
      <c r="B647" s="31" t="str">
        <f t="shared" ca="1" si="10"/>
        <v>Barrenas</v>
      </c>
      <c r="C647" s="32" t="str">
        <f>IFERROR(VLOOKUP("UD",'[1]Informacion '!P:Q,2,FALSE),"")</f>
        <v>Unidad</v>
      </c>
      <c r="D647" s="30">
        <v>6</v>
      </c>
      <c r="E647" s="33">
        <v>100</v>
      </c>
      <c r="F647" s="34">
        <f t="shared" ca="1" si="9"/>
        <v>600</v>
      </c>
    </row>
    <row r="648" spans="1:6" ht="14.25" customHeight="1" x14ac:dyDescent="0.25">
      <c r="A648" s="30" t="s">
        <v>192</v>
      </c>
      <c r="B648" s="31" t="str">
        <f t="shared" ca="1" si="10"/>
        <v>Barrenas</v>
      </c>
      <c r="C648" s="32" t="str">
        <f>IFERROR(VLOOKUP("UD",'[1]Informacion '!P:Q,2,FALSE),"")</f>
        <v>Unidad</v>
      </c>
      <c r="D648" s="30">
        <v>12</v>
      </c>
      <c r="E648" s="33">
        <v>75</v>
      </c>
      <c r="F648" s="34">
        <f t="shared" ca="1" si="9"/>
        <v>900</v>
      </c>
    </row>
    <row r="649" spans="1:6" ht="14.25" customHeight="1" x14ac:dyDescent="0.25">
      <c r="A649" s="30" t="s">
        <v>192</v>
      </c>
      <c r="B649" s="31" t="str">
        <f t="shared" ca="1" si="10"/>
        <v>Barrenas</v>
      </c>
      <c r="C649" s="32" t="str">
        <f>IFERROR(VLOOKUP("UD",'[1]Informacion '!P:Q,2,FALSE),"")</f>
        <v>Unidad</v>
      </c>
      <c r="D649" s="30">
        <v>12</v>
      </c>
      <c r="E649" s="33">
        <v>75</v>
      </c>
      <c r="F649" s="34">
        <f t="shared" ca="1" si="9"/>
        <v>900</v>
      </c>
    </row>
    <row r="650" spans="1:6" ht="14.25" customHeight="1" x14ac:dyDescent="0.25">
      <c r="A650" s="30" t="s">
        <v>193</v>
      </c>
      <c r="B650" s="31" t="str">
        <f ca="1">IFERROR(INDEX(UNSPSCDes,MATCH(INDIRECT(ADDRESS(ROW(),COLUMN()-1,4)),UNSPSCCode,0)),IF(INDIRECT(ADDRESS(ROW(),COLUMN()-1,4))="27111701","Destornilladores",""))</f>
        <v>Destornilladores</v>
      </c>
      <c r="C650" s="32" t="str">
        <f>IFERROR(VLOOKUP("UD",'[1]Informacion '!P:Q,2,FALSE),"")</f>
        <v>Unidad</v>
      </c>
      <c r="D650" s="30">
        <v>3</v>
      </c>
      <c r="E650" s="33">
        <v>300</v>
      </c>
      <c r="F650" s="34">
        <f t="shared" ca="1" si="9"/>
        <v>900</v>
      </c>
    </row>
    <row r="651" spans="1:6" ht="14.25" customHeight="1" x14ac:dyDescent="0.25">
      <c r="A651" s="30" t="s">
        <v>194</v>
      </c>
      <c r="B651" s="31" t="str">
        <f ca="1">IFERROR(INDEX(UNSPSCDes,MATCH(INDIRECT(ADDRESS(ROW(),COLUMN()-1,4)),UNSPSCCode,0)),IF(INDIRECT(ADDRESS(ROW(),COLUMN()-1,4))="27112001","Machetes",""))</f>
        <v>Machetes</v>
      </c>
      <c r="C651" s="32" t="str">
        <f>IFERROR(VLOOKUP("UD",'[1]Informacion '!P:Q,2,FALSE),"")</f>
        <v>Unidad</v>
      </c>
      <c r="D651" s="30">
        <v>1</v>
      </c>
      <c r="E651" s="33">
        <v>500</v>
      </c>
      <c r="F651" s="34">
        <f t="shared" ca="1" si="9"/>
        <v>500</v>
      </c>
    </row>
    <row r="652" spans="1:6" ht="14.25" customHeight="1" x14ac:dyDescent="0.25">
      <c r="A652" s="30" t="s">
        <v>195</v>
      </c>
      <c r="B652" s="31" t="str">
        <f ca="1">IFERROR(INDEX(UNSPSCDes,MATCH(INDIRECT(ADDRESS(ROW(),COLUMN()-1,4)),UNSPSCCode,0)),IF(INDIRECT(ADDRESS(ROW(),COLUMN()-1,4))="27112504","Cuñas",""))</f>
        <v>Cuñas</v>
      </c>
      <c r="C652" s="32" t="str">
        <f>IFERROR(VLOOKUP("UD",'[1]Informacion '!P:Q,2,FALSE),"")</f>
        <v>Unidad</v>
      </c>
      <c r="D652" s="30">
        <v>100</v>
      </c>
      <c r="E652" s="33">
        <v>5</v>
      </c>
      <c r="F652" s="34">
        <f t="shared" ca="1" si="9"/>
        <v>500</v>
      </c>
    </row>
    <row r="653" spans="1:6" ht="14.25" customHeight="1" x14ac:dyDescent="0.25">
      <c r="A653" s="30" t="s">
        <v>195</v>
      </c>
      <c r="B653" s="31" t="str">
        <f ca="1">IFERROR(INDEX(UNSPSCDes,MATCH(INDIRECT(ADDRESS(ROW(),COLUMN()-1,4)),UNSPSCCode,0)),IF(INDIRECT(ADDRESS(ROW(),COLUMN()-1,4))="27112504","Cuñas",""))</f>
        <v>Cuñas</v>
      </c>
      <c r="C653" s="32" t="str">
        <f>IFERROR(VLOOKUP("UD",'[1]Informacion '!P:Q,2,FALSE),"")</f>
        <v>Unidad</v>
      </c>
      <c r="D653" s="30">
        <v>100</v>
      </c>
      <c r="E653" s="33">
        <v>3</v>
      </c>
      <c r="F653" s="34">
        <f t="shared" ca="1" si="9"/>
        <v>300</v>
      </c>
    </row>
    <row r="654" spans="1:6" ht="14.25" customHeight="1" x14ac:dyDescent="0.25">
      <c r="A654" s="30" t="s">
        <v>195</v>
      </c>
      <c r="B654" s="31" t="str">
        <f ca="1">IFERROR(INDEX(UNSPSCDes,MATCH(INDIRECT(ADDRESS(ROW(),COLUMN()-1,4)),UNSPSCCode,0)),IF(INDIRECT(ADDRESS(ROW(),COLUMN()-1,4))="27112504","Cuñas",""))</f>
        <v>Cuñas</v>
      </c>
      <c r="C654" s="32" t="str">
        <f>IFERROR(VLOOKUP("UD",'[1]Informacion '!P:Q,2,FALSE),"")</f>
        <v>Unidad</v>
      </c>
      <c r="D654" s="30">
        <v>100</v>
      </c>
      <c r="E654" s="33">
        <v>2</v>
      </c>
      <c r="F654" s="34">
        <f t="shared" ca="1" si="9"/>
        <v>200</v>
      </c>
    </row>
    <row r="655" spans="1:6" ht="14.25" customHeight="1" x14ac:dyDescent="0.25">
      <c r="A655" s="30" t="s">
        <v>196</v>
      </c>
      <c r="B655" s="31" t="str">
        <f ca="1">IFERROR(INDEX(UNSPSCDes,MATCH(INDIRECT(ADDRESS(ROW(),COLUMN()-1,4)),UNSPSCCode,0)),IF(INDIRECT(ADDRESS(ROW(),COLUMN()-1,4))="27112703","Taladradoras eléctricas",""))</f>
        <v>Taladradoras eléctricas</v>
      </c>
      <c r="C655" s="32" t="str">
        <f>IFERROR(VLOOKUP("UD",'[1]Informacion '!P:Q,2,FALSE),"")</f>
        <v>Unidad</v>
      </c>
      <c r="D655" s="30">
        <v>1</v>
      </c>
      <c r="E655" s="33">
        <v>4000</v>
      </c>
      <c r="F655" s="34">
        <f t="shared" ca="1" si="9"/>
        <v>4000</v>
      </c>
    </row>
    <row r="656" spans="1:6" ht="14.25" customHeight="1" x14ac:dyDescent="0.25">
      <c r="A656" s="30" t="s">
        <v>197</v>
      </c>
      <c r="B656" s="31" t="str">
        <f ca="1">IFERROR(INDEX(UNSPSCDes,MATCH(INDIRECT(ADDRESS(ROW(),COLUMN()-1,4)),UNSPSCCode,0)),IF(INDIRECT(ADDRESS(ROW(),COLUMN()-1,4))="27112802","Hojas de sierra",""))</f>
        <v>Hojas de sierra</v>
      </c>
      <c r="C656" s="32" t="str">
        <f>IFERROR(VLOOKUP("UD",'[1]Informacion '!P:Q,2,FALSE),"")</f>
        <v>Unidad</v>
      </c>
      <c r="D656" s="30">
        <v>6</v>
      </c>
      <c r="E656" s="33">
        <v>60</v>
      </c>
      <c r="F656" s="34">
        <f t="shared" ca="1" si="9"/>
        <v>360</v>
      </c>
    </row>
    <row r="657" spans="1:6" ht="14.25" customHeight="1" x14ac:dyDescent="0.25">
      <c r="A657" s="30" t="s">
        <v>198</v>
      </c>
      <c r="B657" s="31" t="str">
        <f ca="1">IFERROR(INDEX(UNSPSCDes,MATCH(INDIRECT(ADDRESS(ROW(),COLUMN()-1,4)),UNSPSCCode,0)),IF(INDIRECT(ADDRESS(ROW(),COLUMN()-1,4))="30102404","Varillas de acero",""))</f>
        <v>Varillas de acero</v>
      </c>
      <c r="C657" s="32" t="str">
        <f>IFERROR(VLOOKUP("LB",'[1]Informacion '!P:Q,2,FALSE),"")</f>
        <v>Libra </v>
      </c>
      <c r="D657" s="30">
        <v>1</v>
      </c>
      <c r="E657" s="33">
        <v>100</v>
      </c>
      <c r="F657" s="34">
        <f t="shared" ca="1" si="9"/>
        <v>100</v>
      </c>
    </row>
    <row r="658" spans="1:6" ht="14.25" customHeight="1" x14ac:dyDescent="0.25">
      <c r="A658" s="30" t="s">
        <v>199</v>
      </c>
      <c r="B658" s="31" t="str">
        <f ca="1">IFERROR(INDEX(UNSPSCDes,MATCH(INDIRECT(ADDRESS(ROW(),COLUMN()-1,4)),UNSPSCCode,0)),IF(INDIRECT(ADDRESS(ROW(),COLUMN()-1,4))="30103206","Rejilla de plástico",""))</f>
        <v>Rejilla de plástico</v>
      </c>
      <c r="C658" s="32" t="str">
        <f>IFERROR(VLOOKUP("UD",'[1]Informacion '!P:Q,2,FALSE),"")</f>
        <v>Unidad</v>
      </c>
      <c r="D658" s="30">
        <v>6</v>
      </c>
      <c r="E658" s="33">
        <v>1100</v>
      </c>
      <c r="F658" s="34">
        <f t="shared" ca="1" si="9"/>
        <v>6600</v>
      </c>
    </row>
    <row r="659" spans="1:6" ht="14.25" customHeight="1" x14ac:dyDescent="0.25">
      <c r="A659" s="30" t="s">
        <v>120</v>
      </c>
      <c r="B659" s="31" t="str">
        <f ca="1">IFERROR(INDEX(UNSPSCDes,MATCH(INDIRECT(ADDRESS(ROW(),COLUMN()-1,4)),UNSPSCCode,0)),IF(INDIRECT(ADDRESS(ROW(),COLUMN()-1,4))="30111601","Cemento",""))</f>
        <v>Cemento</v>
      </c>
      <c r="C659" s="32" t="str">
        <f>IFERROR(VLOOKUP("LB",'[1]Informacion '!P:Q,2,FALSE),"")</f>
        <v>Libra </v>
      </c>
      <c r="D659" s="30">
        <v>30</v>
      </c>
      <c r="E659" s="33">
        <v>30</v>
      </c>
      <c r="F659" s="34">
        <f t="shared" ca="1" si="9"/>
        <v>900</v>
      </c>
    </row>
    <row r="660" spans="1:6" ht="14.25" customHeight="1" x14ac:dyDescent="0.25">
      <c r="A660" s="30" t="s">
        <v>120</v>
      </c>
      <c r="B660" s="31" t="str">
        <f ca="1">IFERROR(INDEX(UNSPSCDes,MATCH(INDIRECT(ADDRESS(ROW(),COLUMN()-1,4)),UNSPSCCode,0)),IF(INDIRECT(ADDRESS(ROW(),COLUMN()-1,4))="30111601","Cemento",""))</f>
        <v>Cemento</v>
      </c>
      <c r="C660" s="32" t="str">
        <f>IFERROR(VLOOKUP("UD",'[1]Informacion '!P:Q,2,FALSE),"")</f>
        <v>Unidad</v>
      </c>
      <c r="D660" s="30">
        <v>3</v>
      </c>
      <c r="E660" s="33">
        <v>500</v>
      </c>
      <c r="F660" s="34">
        <f t="shared" ca="1" si="9"/>
        <v>1500</v>
      </c>
    </row>
    <row r="661" spans="1:6" ht="14.25" customHeight="1" x14ac:dyDescent="0.25">
      <c r="A661" s="30" t="s">
        <v>120</v>
      </c>
      <c r="B661" s="31" t="str">
        <f ca="1">IFERROR(INDEX(UNSPSCDes,MATCH(INDIRECT(ADDRESS(ROW(),COLUMN()-1,4)),UNSPSCCode,0)),IF(INDIRECT(ADDRESS(ROW(),COLUMN()-1,4))="30111601","Cemento",""))</f>
        <v>Cemento</v>
      </c>
      <c r="C661" s="32" t="str">
        <f>IFERROR(VLOOKUP("UD",'[1]Informacion '!P:Q,2,FALSE),"")</f>
        <v>Unidad</v>
      </c>
      <c r="D661" s="30">
        <v>5</v>
      </c>
      <c r="E661" s="33">
        <v>30</v>
      </c>
      <c r="F661" s="34">
        <f t="shared" ca="1" si="9"/>
        <v>150</v>
      </c>
    </row>
    <row r="662" spans="1:6" ht="14.25" customHeight="1" x14ac:dyDescent="0.25">
      <c r="A662" s="30" t="s">
        <v>200</v>
      </c>
      <c r="B662" s="31" t="str">
        <f ca="1">IFERROR(INDEX(UNSPSCDes,MATCH(INDIRECT(ADDRESS(ROW(),COLUMN()-1,4)),UNSPSCCode,0)),IF(INDIRECT(ADDRESS(ROW(),COLUMN()-1,4))="30171514","Cerradores de puertas",""))</f>
        <v>Cerradores de puertas</v>
      </c>
      <c r="C662" s="32" t="str">
        <f>IFERROR(VLOOKUP("UD",'[1]Informacion '!P:Q,2,FALSE),"")</f>
        <v>Unidad</v>
      </c>
      <c r="D662" s="30">
        <v>4</v>
      </c>
      <c r="E662" s="33">
        <v>3000</v>
      </c>
      <c r="F662" s="34">
        <f t="shared" ca="1" si="9"/>
        <v>12000</v>
      </c>
    </row>
    <row r="663" spans="1:6" ht="14.25" customHeight="1" x14ac:dyDescent="0.25">
      <c r="A663" s="30" t="s">
        <v>201</v>
      </c>
      <c r="B663" s="31" t="str">
        <f ca="1">IFERROR(INDEX(UNSPSCDes,MATCH(INDIRECT(ADDRESS(ROW(),COLUMN()-1,4)),UNSPSCCode,0)),IF(INDIRECT(ADDRESS(ROW(),COLUMN()-1,4))="30181513","Tapas de inodoro",""))</f>
        <v>Tapas de inodoro</v>
      </c>
      <c r="C663" s="32" t="str">
        <f>IFERROR(VLOOKUP("UD",'[1]Informacion '!P:Q,2,FALSE),"")</f>
        <v>Unidad</v>
      </c>
      <c r="D663" s="30">
        <v>6</v>
      </c>
      <c r="E663" s="33">
        <v>1000</v>
      </c>
      <c r="F663" s="34">
        <f t="shared" ca="1" si="9"/>
        <v>6000</v>
      </c>
    </row>
    <row r="664" spans="1:6" ht="14.25" customHeight="1" x14ac:dyDescent="0.25">
      <c r="A664" s="30" t="s">
        <v>201</v>
      </c>
      <c r="B664" s="31" t="str">
        <f ca="1">IFERROR(INDEX(UNSPSCDes,MATCH(INDIRECT(ADDRESS(ROW(),COLUMN()-1,4)),UNSPSCCode,0)),IF(INDIRECT(ADDRESS(ROW(),COLUMN()-1,4))="30181513","Tapas de inodoro",""))</f>
        <v>Tapas de inodoro</v>
      </c>
      <c r="C664" s="32" t="str">
        <f>IFERROR(VLOOKUP("UD",'[1]Informacion '!P:Q,2,FALSE),"")</f>
        <v>Unidad</v>
      </c>
      <c r="D664" s="30">
        <v>3</v>
      </c>
      <c r="E664" s="33">
        <v>1000</v>
      </c>
      <c r="F664" s="34">
        <f t="shared" ca="1" si="9"/>
        <v>3000</v>
      </c>
    </row>
    <row r="665" spans="1:6" ht="14.25" customHeight="1" x14ac:dyDescent="0.25">
      <c r="A665" s="30" t="s">
        <v>202</v>
      </c>
      <c r="B665" s="31" t="str">
        <f ca="1">IFERROR(INDEX(UNSPSCDes,MATCH(INDIRECT(ADDRESS(ROW(),COLUMN()-1,4)),UNSPSCCode,0)),IF(INDIRECT(ADDRESS(ROW(),COLUMN()-1,4))="31162402","Cerraduras",""))</f>
        <v>Cerraduras</v>
      </c>
      <c r="C665" s="32" t="str">
        <f>IFERROR(VLOOKUP("UD",'[1]Informacion '!P:Q,2,FALSE),"")</f>
        <v>Unidad</v>
      </c>
      <c r="D665" s="30">
        <v>12</v>
      </c>
      <c r="E665" s="33">
        <v>1400</v>
      </c>
      <c r="F665" s="34">
        <f t="shared" ca="1" si="9"/>
        <v>16800</v>
      </c>
    </row>
    <row r="666" spans="1:6" ht="14.25" customHeight="1" x14ac:dyDescent="0.25">
      <c r="A666" s="30" t="s">
        <v>202</v>
      </c>
      <c r="B666" s="31" t="str">
        <f ca="1">IFERROR(INDEX(UNSPSCDes,MATCH(INDIRECT(ADDRESS(ROW(),COLUMN()-1,4)),UNSPSCCode,0)),IF(INDIRECT(ADDRESS(ROW(),COLUMN()-1,4))="31162402","Cerraduras",""))</f>
        <v>Cerraduras</v>
      </c>
      <c r="C666" s="32" t="str">
        <f>IFERROR(VLOOKUP("UD",'[1]Informacion '!P:Q,2,FALSE),"")</f>
        <v>Unidad</v>
      </c>
      <c r="D666" s="30">
        <v>6</v>
      </c>
      <c r="E666" s="33">
        <v>1200</v>
      </c>
      <c r="F666" s="34">
        <f t="shared" ca="1" si="9"/>
        <v>7200</v>
      </c>
    </row>
    <row r="667" spans="1:6" ht="14.25" customHeight="1" x14ac:dyDescent="0.25">
      <c r="A667" s="30" t="s">
        <v>202</v>
      </c>
      <c r="B667" s="31" t="str">
        <f ca="1">IFERROR(INDEX(UNSPSCDes,MATCH(INDIRECT(ADDRESS(ROW(),COLUMN()-1,4)),UNSPSCCode,0)),IF(INDIRECT(ADDRESS(ROW(),COLUMN()-1,4))="31162402","Cerraduras",""))</f>
        <v>Cerraduras</v>
      </c>
      <c r="C667" s="32" t="str">
        <f>IFERROR(VLOOKUP("UD",'[1]Informacion '!P:Q,2,FALSE),"")</f>
        <v>Unidad</v>
      </c>
      <c r="D667" s="30">
        <v>6</v>
      </c>
      <c r="E667" s="33">
        <v>800</v>
      </c>
      <c r="F667" s="34">
        <f t="shared" ca="1" si="9"/>
        <v>4800</v>
      </c>
    </row>
    <row r="668" spans="1:6" ht="14.25" customHeight="1" x14ac:dyDescent="0.25">
      <c r="A668" s="30" t="s">
        <v>203</v>
      </c>
      <c r="B668" s="31" t="str">
        <f ca="1">IFERROR(INDEX(UNSPSCDes,MATCH(INDIRECT(ADDRESS(ROW(),COLUMN()-1,4)),UNSPSCCode,0)),IF(INDIRECT(ADDRESS(ROW(),COLUMN()-1,4))="31201513","Cintas antideslizantes de seguridad",""))</f>
        <v>Cintas antideslizantes de seguridad</v>
      </c>
      <c r="C668" s="32" t="str">
        <f>IFERROR(VLOOKUP("UD",'[1]Informacion '!P:Q,2,FALSE),"")</f>
        <v>Unidad</v>
      </c>
      <c r="D668" s="30">
        <v>24</v>
      </c>
      <c r="E668" s="33">
        <v>700</v>
      </c>
      <c r="F668" s="34">
        <f t="shared" ca="1" si="9"/>
        <v>16800</v>
      </c>
    </row>
    <row r="669" spans="1:6" ht="14.25" customHeight="1" x14ac:dyDescent="0.25">
      <c r="A669" s="30" t="s">
        <v>204</v>
      </c>
      <c r="B669" s="31" t="str">
        <f ca="1">IFERROR(INDEX(UNSPSCDes,MATCH(INDIRECT(ADDRESS(ROW(),COLUMN()-1,4)),UNSPSCCode,0)),IF(INDIRECT(ADDRESS(ROW(),COLUMN()-1,4))="31201514","Cinta de sellado de hilo de poli tetrafluoretileno (ptfe)",""))</f>
        <v>Cinta de sellado de hilo de poli tetrafluoretileno (ptfe)</v>
      </c>
      <c r="C669" s="32" t="str">
        <f>IFERROR(VLOOKUP("UD",'[1]Informacion '!P:Q,2,FALSE),"")</f>
        <v>Unidad</v>
      </c>
      <c r="D669" s="30">
        <v>10</v>
      </c>
      <c r="E669" s="33">
        <v>30</v>
      </c>
      <c r="F669" s="34">
        <f t="shared" ca="1" si="9"/>
        <v>300</v>
      </c>
    </row>
    <row r="670" spans="1:6" ht="14.25" customHeight="1" x14ac:dyDescent="0.25">
      <c r="A670" s="30" t="s">
        <v>205</v>
      </c>
      <c r="B670" s="31" t="str">
        <f ca="1">IFERROR(INDEX(UNSPSCDes,MATCH(INDIRECT(ADDRESS(ROW(),COLUMN()-1,4)),UNSPSCCode,0)),IF(INDIRECT(ADDRESS(ROW(),COLUMN()-1,4))="31201520","Cinta para marcar los pasillos",""))</f>
        <v>Cinta para marcar los pasillos</v>
      </c>
      <c r="C670" s="32" t="str">
        <f>IFERROR(VLOOKUP("UD",'[1]Informacion '!P:Q,2,FALSE),"")</f>
        <v>Unidad</v>
      </c>
      <c r="D670" s="30">
        <v>12</v>
      </c>
      <c r="E670" s="33">
        <v>200</v>
      </c>
      <c r="F670" s="34">
        <f t="shared" ca="1" si="9"/>
        <v>2400</v>
      </c>
    </row>
    <row r="671" spans="1:6" ht="14.25" customHeight="1" x14ac:dyDescent="0.25">
      <c r="A671" s="30" t="s">
        <v>206</v>
      </c>
      <c r="B671" s="31" t="str">
        <f ca="1">IFERROR(INDEX(UNSPSCDes,MATCH(INDIRECT(ADDRESS(ROW(),COLUMN()-1,4)),UNSPSCCode,0)),IF(INDIRECT(ADDRESS(ROW(),COLUMN()-1,4))="31201522","Cinta de transferencia adhesiva",""))</f>
        <v>Cinta de transferencia adhesiva</v>
      </c>
      <c r="C671" s="32" t="str">
        <f>IFERROR(VLOOKUP("UD",'[1]Informacion '!P:Q,2,FALSE),"")</f>
        <v>Unidad</v>
      </c>
      <c r="D671" s="30">
        <v>6</v>
      </c>
      <c r="E671" s="33">
        <v>500</v>
      </c>
      <c r="F671" s="34">
        <f t="shared" ca="1" si="9"/>
        <v>3000</v>
      </c>
    </row>
    <row r="672" spans="1:6" ht="14.25" customHeight="1" x14ac:dyDescent="0.25">
      <c r="A672" s="30" t="s">
        <v>206</v>
      </c>
      <c r="B672" s="31" t="str">
        <f ca="1">IFERROR(INDEX(UNSPSCDes,MATCH(INDIRECT(ADDRESS(ROW(),COLUMN()-1,4)),UNSPSCCode,0)),IF(INDIRECT(ADDRESS(ROW(),COLUMN()-1,4))="31201522","Cinta de transferencia adhesiva",""))</f>
        <v>Cinta de transferencia adhesiva</v>
      </c>
      <c r="C672" s="32" t="str">
        <f>IFERROR(VLOOKUP("UD",'[1]Informacion '!P:Q,2,FALSE),"")</f>
        <v>Unidad</v>
      </c>
      <c r="D672" s="30">
        <v>3</v>
      </c>
      <c r="E672" s="33">
        <v>400</v>
      </c>
      <c r="F672" s="34">
        <f t="shared" ca="1" si="9"/>
        <v>1200</v>
      </c>
    </row>
    <row r="673" spans="1:6" ht="14.25" customHeight="1" x14ac:dyDescent="0.25">
      <c r="A673" s="30" t="s">
        <v>207</v>
      </c>
      <c r="B673" s="31" t="str">
        <f ca="1">IFERROR(INDEX(UNSPSCDes,MATCH(INDIRECT(ADDRESS(ROW(),COLUMN()-1,4)),UNSPSCCode,0)),IF(INDIRECT(ADDRESS(ROW(),COLUMN()-1,4))="31201606","Calafateos",""))</f>
        <v>Calafateos</v>
      </c>
      <c r="C673" s="32" t="str">
        <f>IFERROR(VLOOKUP("UD",'[1]Informacion '!P:Q,2,FALSE),"")</f>
        <v>Unidad</v>
      </c>
      <c r="D673" s="30">
        <v>6</v>
      </c>
      <c r="E673" s="33">
        <v>100</v>
      </c>
      <c r="F673" s="34">
        <f t="shared" ca="1" si="9"/>
        <v>600</v>
      </c>
    </row>
    <row r="674" spans="1:6" ht="14.25" customHeight="1" x14ac:dyDescent="0.25">
      <c r="A674" s="30" t="s">
        <v>208</v>
      </c>
      <c r="B674" s="31" t="str">
        <f ca="1">IFERROR(INDEX(UNSPSCDes,MATCH(INDIRECT(ADDRESS(ROW(),COLUMN()-1,4)),UNSPSCCode,0)),IF(INDIRECT(ADDRESS(ROW(),COLUMN()-1,4))="32141107","Zócalos de tubo",""))</f>
        <v>Zócalos de tubo</v>
      </c>
      <c r="C674" s="32" t="str">
        <f>IFERROR(VLOOKUP("UD",'[1]Informacion '!P:Q,2,FALSE),"")</f>
        <v>Unidad</v>
      </c>
      <c r="D674" s="30">
        <v>3</v>
      </c>
      <c r="E674" s="33">
        <v>150</v>
      </c>
      <c r="F674" s="34">
        <f t="shared" ca="1" si="9"/>
        <v>450</v>
      </c>
    </row>
    <row r="675" spans="1:6" ht="14.25" customHeight="1" x14ac:dyDescent="0.25">
      <c r="A675" s="30" t="s">
        <v>209</v>
      </c>
      <c r="B675" s="31" t="str">
        <f ca="1">IFERROR(INDEX(UNSPSCDes,MATCH(INDIRECT(ADDRESS(ROW(),COLUMN()-1,4)),UNSPSCCode,0)),IF(INDIRECT(ADDRESS(ROW(),COLUMN()-1,4))="39101603","Lámparas solares",""))</f>
        <v>Lámparas solares</v>
      </c>
      <c r="C675" s="32" t="str">
        <f>IFERROR(VLOOKUP("UD",'[1]Informacion '!P:Q,2,FALSE),"")</f>
        <v>Unidad</v>
      </c>
      <c r="D675" s="30">
        <v>20</v>
      </c>
      <c r="E675" s="33">
        <v>3000</v>
      </c>
      <c r="F675" s="34">
        <f t="shared" ca="1" si="9"/>
        <v>60000</v>
      </c>
    </row>
    <row r="676" spans="1:6" ht="14.25" customHeight="1" x14ac:dyDescent="0.25">
      <c r="A676" s="30" t="s">
        <v>209</v>
      </c>
      <c r="B676" s="31" t="str">
        <f ca="1">IFERROR(INDEX(UNSPSCDes,MATCH(INDIRECT(ADDRESS(ROW(),COLUMN()-1,4)),UNSPSCCode,0)),IF(INDIRECT(ADDRESS(ROW(),COLUMN()-1,4))="39101603","Lámparas solares",""))</f>
        <v>Lámparas solares</v>
      </c>
      <c r="C676" s="32" t="str">
        <f>IFERROR(VLOOKUP("UD",'[1]Informacion '!P:Q,2,FALSE),"")</f>
        <v>Unidad</v>
      </c>
      <c r="D676" s="30">
        <v>10</v>
      </c>
      <c r="E676" s="33">
        <v>300</v>
      </c>
      <c r="F676" s="34">
        <f t="shared" ca="1" si="9"/>
        <v>3000</v>
      </c>
    </row>
    <row r="677" spans="1:6" ht="14.25" customHeight="1" x14ac:dyDescent="0.25">
      <c r="A677" s="30" t="s">
        <v>210</v>
      </c>
      <c r="B677" s="31" t="str">
        <f ca="1">IFERROR(INDEX(UNSPSCDes,MATCH(INDIRECT(ADDRESS(ROW(),COLUMN()-1,4)),UNSPSCCode,0)),IF(INDIRECT(ADDRESS(ROW(),COLUMN()-1,4))="39101628","Lámpara Led",""))</f>
        <v>Lámpara Led</v>
      </c>
      <c r="C677" s="32" t="str">
        <f>IFERROR(VLOOKUP("UD",'[1]Informacion '!P:Q,2,FALSE),"")</f>
        <v>Unidad</v>
      </c>
      <c r="D677" s="30">
        <v>100</v>
      </c>
      <c r="E677" s="33">
        <v>150</v>
      </c>
      <c r="F677" s="34">
        <f t="shared" ca="1" si="9"/>
        <v>15000</v>
      </c>
    </row>
    <row r="678" spans="1:6" ht="14.25" customHeight="1" x14ac:dyDescent="0.25">
      <c r="A678" s="30" t="s">
        <v>210</v>
      </c>
      <c r="B678" s="31" t="str">
        <f ca="1">IFERROR(INDEX(UNSPSCDes,MATCH(INDIRECT(ADDRESS(ROW(),COLUMN()-1,4)),UNSPSCCode,0)),IF(INDIRECT(ADDRESS(ROW(),COLUMN()-1,4))="39101628","Lámpara Led",""))</f>
        <v>Lámpara Led</v>
      </c>
      <c r="C678" s="32" t="str">
        <f>IFERROR(VLOOKUP("UD",'[1]Informacion '!P:Q,2,FALSE),"")</f>
        <v>Unidad</v>
      </c>
      <c r="D678" s="30">
        <v>30</v>
      </c>
      <c r="E678" s="33">
        <v>300</v>
      </c>
      <c r="F678" s="34">
        <f t="shared" ca="1" si="9"/>
        <v>9000</v>
      </c>
    </row>
    <row r="679" spans="1:6" ht="14.25" customHeight="1" x14ac:dyDescent="0.25">
      <c r="A679" s="30" t="s">
        <v>210</v>
      </c>
      <c r="B679" s="31" t="str">
        <f ca="1">IFERROR(INDEX(UNSPSCDes,MATCH(INDIRECT(ADDRESS(ROW(),COLUMN()-1,4)),UNSPSCCode,0)),IF(INDIRECT(ADDRESS(ROW(),COLUMN()-1,4))="39101628","Lámpara Led",""))</f>
        <v>Lámpara Led</v>
      </c>
      <c r="C679" s="32" t="str">
        <f>IFERROR(VLOOKUP("UD",'[1]Informacion '!P:Q,2,FALSE),"")</f>
        <v>Unidad</v>
      </c>
      <c r="D679" s="30">
        <v>3</v>
      </c>
      <c r="E679" s="33">
        <v>800</v>
      </c>
      <c r="F679" s="34">
        <f t="shared" ca="1" si="9"/>
        <v>2400</v>
      </c>
    </row>
    <row r="680" spans="1:6" ht="14.25" customHeight="1" x14ac:dyDescent="0.25">
      <c r="A680" s="30" t="s">
        <v>211</v>
      </c>
      <c r="B680" s="31" t="str">
        <f ca="1">IFERROR(INDEX(UNSPSCDes,MATCH(INDIRECT(ADDRESS(ROW(),COLUMN()-1,4)),UNSPSCCode,0)),IF(INDIRECT(ADDRESS(ROW(),COLUMN()-1,4))="39111521","Plafones",""))</f>
        <v>Plafones</v>
      </c>
      <c r="C680" s="32" t="str">
        <f>IFERROR(VLOOKUP("UD",'[1]Informacion '!P:Q,2,FALSE),"")</f>
        <v>Unidad</v>
      </c>
      <c r="D680" s="30">
        <v>4</v>
      </c>
      <c r="E680" s="33">
        <v>4100</v>
      </c>
      <c r="F680" s="34">
        <f t="shared" ca="1" si="9"/>
        <v>16400</v>
      </c>
    </row>
    <row r="681" spans="1:6" ht="14.25" customHeight="1" x14ac:dyDescent="0.25">
      <c r="A681" s="30" t="s">
        <v>212</v>
      </c>
      <c r="B681" s="31" t="str">
        <f ca="1">IFERROR(INDEX(UNSPSCDes,MATCH(INDIRECT(ADDRESS(ROW(),COLUMN()-1,4)),UNSPSCCode,0)),IF(INDIRECT(ADDRESS(ROW(),COLUMN()-1,4))="39121009","Reguladores eléctricos o de potencia",""))</f>
        <v>Reguladores eléctricos o de potencia</v>
      </c>
      <c r="C681" s="32" t="str">
        <f>IFERROR(VLOOKUP("UD",'[1]Informacion '!P:Q,2,FALSE),"")</f>
        <v>Unidad</v>
      </c>
      <c r="D681" s="30">
        <v>10</v>
      </c>
      <c r="E681" s="33">
        <v>300</v>
      </c>
      <c r="F681" s="34">
        <f t="shared" ca="1" si="9"/>
        <v>3000</v>
      </c>
    </row>
    <row r="682" spans="1:6" ht="14.25" customHeight="1" x14ac:dyDescent="0.25">
      <c r="A682" s="30" t="s">
        <v>110</v>
      </c>
      <c r="B682" s="31" t="str">
        <f ca="1">IFERROR(INDEX(UNSPSCDes,MATCH(INDIRECT(ADDRESS(ROW(),COLUMN()-1,4)),UNSPSCCode,0)),IF(INDIRECT(ADDRESS(ROW(),COLUMN()-1,4))="39121205","Canaletas para cables",""))</f>
        <v>Canaletas para cables</v>
      </c>
      <c r="C682" s="32" t="str">
        <f>IFERROR(VLOOKUP("UD",'[1]Informacion '!P:Q,2,FALSE),"")</f>
        <v>Unidad</v>
      </c>
      <c r="D682" s="30">
        <v>10</v>
      </c>
      <c r="E682" s="33">
        <v>150</v>
      </c>
      <c r="F682" s="34">
        <f t="shared" ca="1" si="9"/>
        <v>1500</v>
      </c>
    </row>
    <row r="683" spans="1:6" ht="14.25" customHeight="1" x14ac:dyDescent="0.25">
      <c r="A683" s="30" t="s">
        <v>213</v>
      </c>
      <c r="B683" s="31" t="str">
        <f ca="1">IFERROR(INDEX(UNSPSCDes,MATCH(INDIRECT(ADDRESS(ROW(),COLUMN()-1,4)),UNSPSCCode,0)),IF(INDIRECT(ADDRESS(ROW(),COLUMN()-1,4))="39121306","Cajas de conmutadores",""))</f>
        <v>Cajas de conmutadores</v>
      </c>
      <c r="C683" s="32" t="str">
        <f>IFERROR(VLOOKUP("UD",'[1]Informacion '!P:Q,2,FALSE),"")</f>
        <v>Unidad</v>
      </c>
      <c r="D683" s="30">
        <v>10</v>
      </c>
      <c r="E683" s="33">
        <v>500</v>
      </c>
      <c r="F683" s="34">
        <f t="shared" ca="1" si="9"/>
        <v>5000</v>
      </c>
    </row>
    <row r="684" spans="1:6" ht="14.25" customHeight="1" x14ac:dyDescent="0.25">
      <c r="A684" s="30" t="s">
        <v>112</v>
      </c>
      <c r="B684" s="31" t="str">
        <f ca="1">IFERROR(INDEX(UNSPSCDes,MATCH(INDIRECT(ADDRESS(ROW(),COLUMN()-1,4)),UNSPSCCode,0)),IF(INDIRECT(ADDRESS(ROW(),COLUMN()-1,4))="39121310","Cajas de uso general",""))</f>
        <v>Cajas de uso general</v>
      </c>
      <c r="C684" s="32" t="str">
        <f>IFERROR(VLOOKUP("UD",'[1]Informacion '!P:Q,2,FALSE),"")</f>
        <v>Unidad</v>
      </c>
      <c r="D684" s="30">
        <v>10</v>
      </c>
      <c r="E684" s="33">
        <v>150</v>
      </c>
      <c r="F684" s="34">
        <f t="shared" ca="1" si="9"/>
        <v>1500</v>
      </c>
    </row>
    <row r="685" spans="1:6" ht="14.25" customHeight="1" x14ac:dyDescent="0.25">
      <c r="A685" s="30" t="s">
        <v>214</v>
      </c>
      <c r="B685" s="31" t="str">
        <f ca="1">IFERROR(INDEX(UNSPSCDes,MATCH(INDIRECT(ADDRESS(ROW(),COLUMN()-1,4)),UNSPSCCode,0)),IF(INDIRECT(ADDRESS(ROW(),COLUMN()-1,4))="39121405","Terminales de cable o alambre",""))</f>
        <v>Terminales de cable o alambre</v>
      </c>
      <c r="C685" s="32" t="str">
        <f>IFERROR(VLOOKUP("UD",'[1]Informacion '!P:Q,2,FALSE),"")</f>
        <v>Unidad</v>
      </c>
      <c r="D685" s="30">
        <v>30</v>
      </c>
      <c r="E685" s="33">
        <v>5</v>
      </c>
      <c r="F685" s="34">
        <f t="shared" ca="1" si="9"/>
        <v>150</v>
      </c>
    </row>
    <row r="686" spans="1:6" ht="14.25" customHeight="1" x14ac:dyDescent="0.25">
      <c r="A686" s="30" t="s">
        <v>215</v>
      </c>
      <c r="B686" s="31" t="str">
        <f ca="1">IFERROR(INDEX(UNSPSCDes,MATCH(INDIRECT(ADDRESS(ROW(),COLUMN()-1,4)),UNSPSCCode,0)),IF(INDIRECT(ADDRESS(ROW(),COLUMN()-1,4))="39121406","Receptáculos eléctricos",""))</f>
        <v>Receptáculos eléctricos</v>
      </c>
      <c r="C686" s="32" t="str">
        <f>IFERROR(VLOOKUP("UD",'[1]Informacion '!P:Q,2,FALSE),"")</f>
        <v>Unidad</v>
      </c>
      <c r="D686" s="30">
        <v>20</v>
      </c>
      <c r="E686" s="33">
        <v>250</v>
      </c>
      <c r="F686" s="34">
        <f t="shared" ca="1" si="9"/>
        <v>5000</v>
      </c>
    </row>
    <row r="687" spans="1:6" ht="14.25" customHeight="1" x14ac:dyDescent="0.25">
      <c r="A687" s="30" t="s">
        <v>111</v>
      </c>
      <c r="B687" s="31" t="str">
        <f ca="1">IFERROR(INDEX(UNSPSCDes,MATCH(INDIRECT(ADDRESS(ROW(),COLUMN()-1,4)),UNSPSCCode,0)),IF(INDIRECT(ADDRESS(ROW(),COLUMN()-1,4))="39121409","Conectores de cables eléctricos",""))</f>
        <v>Conectores de cables eléctricos</v>
      </c>
      <c r="C687" s="32" t="str">
        <f>IFERROR(VLOOKUP("UD",'[1]Informacion '!P:Q,2,FALSE),"")</f>
        <v>Unidad</v>
      </c>
      <c r="D687" s="30">
        <v>10</v>
      </c>
      <c r="E687" s="33">
        <v>450</v>
      </c>
      <c r="F687" s="34">
        <f t="shared" ca="1" si="9"/>
        <v>4500</v>
      </c>
    </row>
    <row r="688" spans="1:6" ht="14.25" customHeight="1" x14ac:dyDescent="0.25">
      <c r="A688" s="30" t="s">
        <v>113</v>
      </c>
      <c r="B688" s="31" t="str">
        <f ca="1">IFERROR(INDEX(UNSPSCDes,MATCH(INDIRECT(ADDRESS(ROW(),COLUMN()-1,4)),UNSPSCCode,0)),IF(INDIRECT(ADDRESS(ROW(),COLUMN()-1,4))="39121435","Hilos o cables de conexión",""))</f>
        <v>Hilos o cables de conexión</v>
      </c>
      <c r="C688" s="32" t="str">
        <f>IFERROR(VLOOKUP("FT",'[1]Informacion '!P:Q,2,FALSE),"")</f>
        <v>Pie</v>
      </c>
      <c r="D688" s="30">
        <v>500</v>
      </c>
      <c r="E688" s="33">
        <v>12</v>
      </c>
      <c r="F688" s="34">
        <f t="shared" ca="1" si="9"/>
        <v>6000</v>
      </c>
    </row>
    <row r="689" spans="1:6" ht="14.25" customHeight="1" x14ac:dyDescent="0.25">
      <c r="A689" s="30" t="s">
        <v>113</v>
      </c>
      <c r="B689" s="31" t="str">
        <f ca="1">IFERROR(INDEX(UNSPSCDes,MATCH(INDIRECT(ADDRESS(ROW(),COLUMN()-1,4)),UNSPSCCode,0)),IF(INDIRECT(ADDRESS(ROW(),COLUMN()-1,4))="39121435","Hilos o cables de conexión",""))</f>
        <v>Hilos o cables de conexión</v>
      </c>
      <c r="C689" s="32" t="str">
        <f>IFERROR(VLOOKUP("FT",'[1]Informacion '!P:Q,2,FALSE),"")</f>
        <v>Pie</v>
      </c>
      <c r="D689" s="30">
        <v>500</v>
      </c>
      <c r="E689" s="33">
        <v>12</v>
      </c>
      <c r="F689" s="34">
        <f t="shared" ca="1" si="9"/>
        <v>6000</v>
      </c>
    </row>
    <row r="690" spans="1:6" ht="14.25" customHeight="1" x14ac:dyDescent="0.25">
      <c r="A690" s="30" t="s">
        <v>113</v>
      </c>
      <c r="B690" s="31" t="str">
        <f ca="1">IFERROR(INDEX(UNSPSCDes,MATCH(INDIRECT(ADDRESS(ROW(),COLUMN()-1,4)),UNSPSCCode,0)),IF(INDIRECT(ADDRESS(ROW(),COLUMN()-1,4))="39121435","Hilos o cables de conexión",""))</f>
        <v>Hilos o cables de conexión</v>
      </c>
      <c r="C690" s="32" t="str">
        <f>IFERROR(VLOOKUP("FT",'[1]Informacion '!P:Q,2,FALSE),"")</f>
        <v>Pie</v>
      </c>
      <c r="D690" s="30">
        <v>500</v>
      </c>
      <c r="E690" s="33">
        <v>30</v>
      </c>
      <c r="F690" s="34">
        <f t="shared" ca="1" si="9"/>
        <v>15000</v>
      </c>
    </row>
    <row r="691" spans="1:6" ht="14.25" customHeight="1" x14ac:dyDescent="0.25">
      <c r="A691" s="30" t="s">
        <v>216</v>
      </c>
      <c r="B691" s="31" t="str">
        <f ca="1">IFERROR(INDEX(UNSPSCDes,MATCH(INDIRECT(ADDRESS(ROW(),COLUMN()-1,4)),UNSPSCCode,0)),IF(INDIRECT(ADDRESS(ROW(),COLUMN()-1,4))="39121522","Contactos eléctricos",""))</f>
        <v>Contactos eléctricos</v>
      </c>
      <c r="C691" s="32" t="str">
        <f>IFERROR(VLOOKUP("UD",'[1]Informacion '!P:Q,2,FALSE),"")</f>
        <v>Unidad</v>
      </c>
      <c r="D691" s="30">
        <v>3</v>
      </c>
      <c r="E691" s="33">
        <v>2000</v>
      </c>
      <c r="F691" s="34">
        <f t="shared" ref="F691:F719" ca="1" si="11">INDIRECT(ADDRESS(ROW(),COLUMN()-2,4))*INDIRECT(ADDRESS(ROW(),COLUMN()-1,4))</f>
        <v>6000</v>
      </c>
    </row>
    <row r="692" spans="1:6" ht="14.25" customHeight="1" x14ac:dyDescent="0.25">
      <c r="A692" s="30" t="s">
        <v>216</v>
      </c>
      <c r="B692" s="31" t="str">
        <f ca="1">IFERROR(INDEX(UNSPSCDes,MATCH(INDIRECT(ADDRESS(ROW(),COLUMN()-1,4)),UNSPSCCode,0)),IF(INDIRECT(ADDRESS(ROW(),COLUMN()-1,4))="39121522","Contactos eléctricos",""))</f>
        <v>Contactos eléctricos</v>
      </c>
      <c r="C692" s="32" t="str">
        <f>IFERROR(VLOOKUP("UD",'[1]Informacion '!P:Q,2,FALSE),"")</f>
        <v>Unidad</v>
      </c>
      <c r="D692" s="30">
        <v>2</v>
      </c>
      <c r="E692" s="33">
        <v>2000</v>
      </c>
      <c r="F692" s="34">
        <f t="shared" ca="1" si="11"/>
        <v>4000</v>
      </c>
    </row>
    <row r="693" spans="1:6" ht="14.25" customHeight="1" x14ac:dyDescent="0.25">
      <c r="A693" s="30" t="s">
        <v>217</v>
      </c>
      <c r="B693" s="31" t="str">
        <f ca="1">IFERROR(INDEX(UNSPSCDes,MATCH(INDIRECT(ADDRESS(ROW(),COLUMN()-1,4)),UNSPSCCode,0)),IF(INDIRECT(ADDRESS(ROW(),COLUMN()-1,4))="39121529","Contactores",""))</f>
        <v>Contactores</v>
      </c>
      <c r="C693" s="32" t="str">
        <f>IFERROR(VLOOKUP("UD",'[1]Informacion '!P:Q,2,FALSE),"")</f>
        <v>Unidad</v>
      </c>
      <c r="D693" s="30">
        <v>6</v>
      </c>
      <c r="E693" s="33">
        <v>450</v>
      </c>
      <c r="F693" s="34">
        <f t="shared" ca="1" si="11"/>
        <v>2700</v>
      </c>
    </row>
    <row r="694" spans="1:6" ht="14.25" customHeight="1" x14ac:dyDescent="0.25">
      <c r="A694" s="30" t="s">
        <v>217</v>
      </c>
      <c r="B694" s="31" t="str">
        <f ca="1">IFERROR(INDEX(UNSPSCDes,MATCH(INDIRECT(ADDRESS(ROW(),COLUMN()-1,4)),UNSPSCCode,0)),IF(INDIRECT(ADDRESS(ROW(),COLUMN()-1,4))="39121529","Contactores",""))</f>
        <v>Contactores</v>
      </c>
      <c r="C694" s="32" t="str">
        <f>IFERROR(VLOOKUP("UD",'[1]Informacion '!P:Q,2,FALSE),"")</f>
        <v>Unidad</v>
      </c>
      <c r="D694" s="30">
        <v>3</v>
      </c>
      <c r="E694" s="33">
        <v>450</v>
      </c>
      <c r="F694" s="34">
        <f t="shared" ca="1" si="11"/>
        <v>1350</v>
      </c>
    </row>
    <row r="695" spans="1:6" ht="14.25" customHeight="1" x14ac:dyDescent="0.25">
      <c r="A695" s="30" t="s">
        <v>217</v>
      </c>
      <c r="B695" s="31" t="str">
        <f ca="1">IFERROR(INDEX(UNSPSCDes,MATCH(INDIRECT(ADDRESS(ROW(),COLUMN()-1,4)),UNSPSCCode,0)),IF(INDIRECT(ADDRESS(ROW(),COLUMN()-1,4))="39121529","Contactores",""))</f>
        <v>Contactores</v>
      </c>
      <c r="C695" s="32" t="str">
        <f>IFERROR(VLOOKUP("UD",'[1]Informacion '!P:Q,2,FALSE),"")</f>
        <v>Unidad</v>
      </c>
      <c r="D695" s="30">
        <v>3</v>
      </c>
      <c r="E695" s="33">
        <v>300</v>
      </c>
      <c r="F695" s="34">
        <f t="shared" ca="1" si="11"/>
        <v>900</v>
      </c>
    </row>
    <row r="696" spans="1:6" ht="14.25" customHeight="1" x14ac:dyDescent="0.25">
      <c r="A696" s="30" t="s">
        <v>217</v>
      </c>
      <c r="B696" s="31" t="str">
        <f ca="1">IFERROR(INDEX(UNSPSCDes,MATCH(INDIRECT(ADDRESS(ROW(),COLUMN()-1,4)),UNSPSCCode,0)),IF(INDIRECT(ADDRESS(ROW(),COLUMN()-1,4))="39121529","Contactores",""))</f>
        <v>Contactores</v>
      </c>
      <c r="C696" s="32" t="str">
        <f>IFERROR(VLOOKUP("UD",'[1]Informacion '!P:Q,2,FALSE),"")</f>
        <v>Unidad</v>
      </c>
      <c r="D696" s="30">
        <v>3</v>
      </c>
      <c r="E696" s="33">
        <v>300</v>
      </c>
      <c r="F696" s="34">
        <f t="shared" ca="1" si="11"/>
        <v>900</v>
      </c>
    </row>
    <row r="697" spans="1:6" ht="14.25" customHeight="1" x14ac:dyDescent="0.25">
      <c r="A697" s="30" t="s">
        <v>218</v>
      </c>
      <c r="B697" s="31" t="str">
        <f ca="1">IFERROR(INDEX(UNSPSCDes,MATCH(INDIRECT(ADDRESS(ROW(),COLUMN()-1,4)),UNSPSCCode,0)),IF(INDIRECT(ADDRESS(ROW(),COLUMN()-1,4))="39121540","Interruptores de mercurio",""))</f>
        <v>Interruptores de mercurio</v>
      </c>
      <c r="C697" s="32" t="str">
        <f>IFERROR(VLOOKUP("UD",'[1]Informacion '!P:Q,2,FALSE),"")</f>
        <v>Unidad</v>
      </c>
      <c r="D697" s="30">
        <v>6</v>
      </c>
      <c r="E697" s="33">
        <v>200</v>
      </c>
      <c r="F697" s="34">
        <f t="shared" ca="1" si="11"/>
        <v>1200</v>
      </c>
    </row>
    <row r="698" spans="1:6" ht="14.25" customHeight="1" x14ac:dyDescent="0.25">
      <c r="A698" s="30" t="s">
        <v>218</v>
      </c>
      <c r="B698" s="31" t="str">
        <f ca="1">IFERROR(INDEX(UNSPSCDes,MATCH(INDIRECT(ADDRESS(ROW(),COLUMN()-1,4)),UNSPSCCode,0)),IF(INDIRECT(ADDRESS(ROW(),COLUMN()-1,4))="39121540","Interruptores de mercurio",""))</f>
        <v>Interruptores de mercurio</v>
      </c>
      <c r="C698" s="32" t="str">
        <f>IFERROR(VLOOKUP("UD",'[1]Informacion '!P:Q,2,FALSE),"")</f>
        <v>Unidad</v>
      </c>
      <c r="D698" s="30">
        <v>3</v>
      </c>
      <c r="E698" s="33">
        <v>250</v>
      </c>
      <c r="F698" s="34">
        <f t="shared" ca="1" si="11"/>
        <v>750</v>
      </c>
    </row>
    <row r="699" spans="1:6" ht="14.25" customHeight="1" x14ac:dyDescent="0.25">
      <c r="A699" s="30" t="s">
        <v>118</v>
      </c>
      <c r="B699" s="31" t="str">
        <f ca="1">IFERROR(INDEX(UNSPSCDes,MATCH(INDIRECT(ADDRESS(ROW(),COLUMN()-1,4)),UNSPSCCode,0)),IF(INDIRECT(ADDRESS(ROW(),COLUMN()-1,4))="39121721","Aislantes eléctricos",""))</f>
        <v>Aislantes eléctricos</v>
      </c>
      <c r="C699" s="32" t="str">
        <f>IFERROR(VLOOKUP("UD",'[1]Informacion '!P:Q,2,FALSE),"")</f>
        <v>Unidad</v>
      </c>
      <c r="D699" s="30">
        <v>12</v>
      </c>
      <c r="E699" s="33">
        <v>200</v>
      </c>
      <c r="F699" s="34">
        <f t="shared" ca="1" si="11"/>
        <v>2400</v>
      </c>
    </row>
    <row r="700" spans="1:6" ht="14.25" customHeight="1" x14ac:dyDescent="0.25">
      <c r="A700" s="30" t="s">
        <v>219</v>
      </c>
      <c r="B700" s="31" t="str">
        <f ca="1">IFERROR(INDEX(UNSPSCDes,MATCH(INDIRECT(ADDRESS(ROW(),COLUMN()-1,4)),UNSPSCCode,0)),IF(INDIRECT(ADDRESS(ROW(),COLUMN()-1,4))="40141610","Válvulas de flotación",""))</f>
        <v>Válvulas de flotación</v>
      </c>
      <c r="C700" s="32" t="str">
        <f>IFERROR(VLOOKUP("UD",'[1]Informacion '!P:Q,2,FALSE),"")</f>
        <v>Unidad</v>
      </c>
      <c r="D700" s="30">
        <v>6</v>
      </c>
      <c r="E700" s="33">
        <v>400</v>
      </c>
      <c r="F700" s="34">
        <f t="shared" ca="1" si="11"/>
        <v>2400</v>
      </c>
    </row>
    <row r="701" spans="1:6" ht="14.25" customHeight="1" x14ac:dyDescent="0.25">
      <c r="A701" s="30" t="s">
        <v>219</v>
      </c>
      <c r="B701" s="31" t="str">
        <f ca="1">IFERROR(INDEX(UNSPSCDes,MATCH(INDIRECT(ADDRESS(ROW(),COLUMN()-1,4)),UNSPSCCode,0)),IF(INDIRECT(ADDRESS(ROW(),COLUMN()-1,4))="40141610","Válvulas de flotación",""))</f>
        <v>Válvulas de flotación</v>
      </c>
      <c r="C701" s="32" t="str">
        <f>IFERROR(VLOOKUP("UD",'[1]Informacion '!P:Q,2,FALSE),"")</f>
        <v>Unidad</v>
      </c>
      <c r="D701" s="30">
        <v>6</v>
      </c>
      <c r="E701" s="33">
        <v>400</v>
      </c>
      <c r="F701" s="34">
        <f t="shared" ca="1" si="11"/>
        <v>2400</v>
      </c>
    </row>
    <row r="702" spans="1:6" ht="14.25" customHeight="1" x14ac:dyDescent="0.25">
      <c r="A702" s="30" t="s">
        <v>220</v>
      </c>
      <c r="B702" s="31" t="str">
        <f ca="1">IFERROR(INDEX(UNSPSCDes,MATCH(INDIRECT(ADDRESS(ROW(),COLUMN()-1,4)),UNSPSCCode,0)),IF(INDIRECT(ADDRESS(ROW(),COLUMN()-1,4))="40141702","Grifos",""))</f>
        <v>Grifos</v>
      </c>
      <c r="C702" s="32" t="str">
        <f>IFERROR(VLOOKUP("UD",'[1]Informacion '!P:Q,2,FALSE),"")</f>
        <v>Unidad</v>
      </c>
      <c r="D702" s="30">
        <v>1</v>
      </c>
      <c r="E702" s="33">
        <v>2000</v>
      </c>
      <c r="F702" s="34">
        <f t="shared" ca="1" si="11"/>
        <v>2000</v>
      </c>
    </row>
    <row r="703" spans="1:6" ht="14.25" customHeight="1" x14ac:dyDescent="0.25">
      <c r="A703" s="30" t="s">
        <v>220</v>
      </c>
      <c r="B703" s="31" t="str">
        <f ca="1">IFERROR(INDEX(UNSPSCDes,MATCH(INDIRECT(ADDRESS(ROW(),COLUMN()-1,4)),UNSPSCCode,0)),IF(INDIRECT(ADDRESS(ROW(),COLUMN()-1,4))="40141702","Grifos",""))</f>
        <v>Grifos</v>
      </c>
      <c r="C703" s="32" t="str">
        <f>IFERROR(VLOOKUP("UD",'[1]Informacion '!P:Q,2,FALSE),"")</f>
        <v>Unidad</v>
      </c>
      <c r="D703" s="30">
        <v>3</v>
      </c>
      <c r="E703" s="33">
        <v>1500</v>
      </c>
      <c r="F703" s="34">
        <f t="shared" ca="1" si="11"/>
        <v>4500</v>
      </c>
    </row>
    <row r="704" spans="1:6" ht="14.25" customHeight="1" x14ac:dyDescent="0.25">
      <c r="A704" s="30" t="s">
        <v>220</v>
      </c>
      <c r="B704" s="31" t="str">
        <f ca="1">IFERROR(INDEX(UNSPSCDes,MATCH(INDIRECT(ADDRESS(ROW(),COLUMN()-1,4)),UNSPSCCode,0)),IF(INDIRECT(ADDRESS(ROW(),COLUMN()-1,4))="40141702","Grifos",""))</f>
        <v>Grifos</v>
      </c>
      <c r="C704" s="32" t="str">
        <f>IFERROR(VLOOKUP("UD",'[1]Informacion '!P:Q,2,FALSE),"")</f>
        <v>Unidad</v>
      </c>
      <c r="D704" s="30">
        <v>2</v>
      </c>
      <c r="E704" s="33">
        <v>2500</v>
      </c>
      <c r="F704" s="34">
        <f t="shared" ca="1" si="11"/>
        <v>5000</v>
      </c>
    </row>
    <row r="705" spans="1:6" ht="14.25" customHeight="1" x14ac:dyDescent="0.25">
      <c r="A705" s="30" t="s">
        <v>220</v>
      </c>
      <c r="B705" s="31" t="str">
        <f ca="1">IFERROR(INDEX(UNSPSCDes,MATCH(INDIRECT(ADDRESS(ROW(),COLUMN()-1,4)),UNSPSCCode,0)),IF(INDIRECT(ADDRESS(ROW(),COLUMN()-1,4))="40141702","Grifos",""))</f>
        <v>Grifos</v>
      </c>
      <c r="C705" s="32" t="str">
        <f>IFERROR(VLOOKUP("UD",'[1]Informacion '!P:Q,2,FALSE),"")</f>
        <v>Unidad</v>
      </c>
      <c r="D705" s="30">
        <v>1</v>
      </c>
      <c r="E705" s="33">
        <v>1500</v>
      </c>
      <c r="F705" s="34">
        <f t="shared" ca="1" si="11"/>
        <v>1500</v>
      </c>
    </row>
    <row r="706" spans="1:6" ht="14.25" customHeight="1" x14ac:dyDescent="0.25">
      <c r="A706" s="30" t="s">
        <v>220</v>
      </c>
      <c r="B706" s="31" t="str">
        <f ca="1">IFERROR(INDEX(UNSPSCDes,MATCH(INDIRECT(ADDRESS(ROW(),COLUMN()-1,4)),UNSPSCCode,0)),IF(INDIRECT(ADDRESS(ROW(),COLUMN()-1,4))="40141702","Grifos",""))</f>
        <v>Grifos</v>
      </c>
      <c r="C706" s="32" t="str">
        <f>IFERROR(VLOOKUP("UD",'[1]Informacion '!P:Q,2,FALSE),"")</f>
        <v>Unidad</v>
      </c>
      <c r="D706" s="30">
        <v>2</v>
      </c>
      <c r="E706" s="33">
        <v>700</v>
      </c>
      <c r="F706" s="34">
        <f t="shared" ca="1" si="11"/>
        <v>1400</v>
      </c>
    </row>
    <row r="707" spans="1:6" ht="14.25" customHeight="1" x14ac:dyDescent="0.25">
      <c r="A707" s="30" t="s">
        <v>221</v>
      </c>
      <c r="B707" s="31" t="str">
        <f ca="1">IFERROR(INDEX(UNSPSCDes,MATCH(INDIRECT(ADDRESS(ROW(),COLUMN()-1,4)),UNSPSCCode,0)),IF(INDIRECT(ADDRESS(ROW(),COLUMN()-1,4))="40141716","Sifones en P",""))</f>
        <v>Sifones en P</v>
      </c>
      <c r="C707" s="32" t="str">
        <f>IFERROR(VLOOKUP("UD",'[1]Informacion '!P:Q,2,FALSE),"")</f>
        <v>Unidad</v>
      </c>
      <c r="D707" s="30">
        <v>6</v>
      </c>
      <c r="E707" s="33">
        <v>200</v>
      </c>
      <c r="F707" s="34">
        <f t="shared" ca="1" si="11"/>
        <v>1200</v>
      </c>
    </row>
    <row r="708" spans="1:6" ht="14.25" customHeight="1" x14ac:dyDescent="0.25">
      <c r="A708" s="30" t="s">
        <v>222</v>
      </c>
      <c r="B708" s="31" t="str">
        <f ca="1">IFERROR(INDEX(UNSPSCDes,MATCH(INDIRECT(ADDRESS(ROW(),COLUMN()-1,4)),UNSPSCCode,0)),IF(INDIRECT(ADDRESS(ROW(),COLUMN()-1,4))="40151607","Compresores refrigerantes",""))</f>
        <v>Compresores refrigerantes</v>
      </c>
      <c r="C708" s="32" t="str">
        <f>IFERROR(VLOOKUP("UD",'[1]Informacion '!P:Q,2,FALSE),"")</f>
        <v>Unidad</v>
      </c>
      <c r="D708" s="30">
        <v>1</v>
      </c>
      <c r="E708" s="33">
        <v>6000</v>
      </c>
      <c r="F708" s="34">
        <f t="shared" ca="1" si="11"/>
        <v>6000</v>
      </c>
    </row>
    <row r="709" spans="1:6" ht="14.25" customHeight="1" x14ac:dyDescent="0.25">
      <c r="A709" s="30" t="s">
        <v>222</v>
      </c>
      <c r="B709" s="31" t="str">
        <f ca="1">IFERROR(INDEX(UNSPSCDes,MATCH(INDIRECT(ADDRESS(ROW(),COLUMN()-1,4)),UNSPSCCode,0)),IF(INDIRECT(ADDRESS(ROW(),COLUMN()-1,4))="40151607","Compresores refrigerantes",""))</f>
        <v>Compresores refrigerantes</v>
      </c>
      <c r="C709" s="32" t="str">
        <f>IFERROR(VLOOKUP("UD",'[1]Informacion '!P:Q,2,FALSE),"")</f>
        <v>Unidad</v>
      </c>
      <c r="D709" s="30">
        <v>2</v>
      </c>
      <c r="E709" s="33">
        <v>6000</v>
      </c>
      <c r="F709" s="34">
        <f t="shared" ca="1" si="11"/>
        <v>12000</v>
      </c>
    </row>
    <row r="710" spans="1:6" ht="14.25" customHeight="1" x14ac:dyDescent="0.25">
      <c r="A710" s="30" t="s">
        <v>222</v>
      </c>
      <c r="B710" s="31" t="str">
        <f ca="1">IFERROR(INDEX(UNSPSCDes,MATCH(INDIRECT(ADDRESS(ROW(),COLUMN()-1,4)),UNSPSCCode,0)),IF(INDIRECT(ADDRESS(ROW(),COLUMN()-1,4))="40151607","Compresores refrigerantes",""))</f>
        <v>Compresores refrigerantes</v>
      </c>
      <c r="C710" s="32" t="str">
        <f>IFERROR(VLOOKUP("UD",'[1]Informacion '!P:Q,2,FALSE),"")</f>
        <v>Unidad</v>
      </c>
      <c r="D710" s="30">
        <v>2</v>
      </c>
      <c r="E710" s="33">
        <v>500</v>
      </c>
      <c r="F710" s="34">
        <f t="shared" ca="1" si="11"/>
        <v>1000</v>
      </c>
    </row>
    <row r="711" spans="1:6" ht="14.25" customHeight="1" x14ac:dyDescent="0.25">
      <c r="A711" s="30" t="s">
        <v>116</v>
      </c>
      <c r="B711" s="31" t="str">
        <f ca="1">IFERROR(INDEX(UNSPSCDes,MATCH(INDIRECT(ADDRESS(ROW(),COLUMN()-1,4)),UNSPSCCode,0)),IF(INDIRECT(ADDRESS(ROW(),COLUMN()-1,4))="31231302","Tubería de cobre",""))</f>
        <v>Tubería de cobre</v>
      </c>
      <c r="C711" s="32" t="str">
        <f>IFERROR(VLOOKUP("UD",'[1]Informacion '!P:Q,2,FALSE),"")</f>
        <v>Unidad</v>
      </c>
      <c r="D711" s="30">
        <v>3</v>
      </c>
      <c r="E711" s="33">
        <v>1400</v>
      </c>
      <c r="F711" s="34">
        <f t="shared" ca="1" si="11"/>
        <v>4200</v>
      </c>
    </row>
    <row r="712" spans="1:6" ht="14.25" customHeight="1" x14ac:dyDescent="0.25">
      <c r="A712" s="30" t="s">
        <v>117</v>
      </c>
      <c r="B712" s="31" t="str">
        <f ca="1">IFERROR(INDEX(UNSPSCDes,MATCH(INDIRECT(ADDRESS(ROW(),COLUMN()-1,4)),UNSPSCCode,0)),IF(INDIRECT(ADDRESS(ROW(),COLUMN()-1,4))="40151610","Piezas de compresor o accesorios",""))</f>
        <v>Piezas de compresor o accesorios</v>
      </c>
      <c r="C712" s="32" t="str">
        <f>IFERROR(VLOOKUP("UD",'[1]Informacion '!P:Q,2,FALSE),"")</f>
        <v>Unidad</v>
      </c>
      <c r="D712" s="30">
        <v>3</v>
      </c>
      <c r="E712" s="33">
        <v>500</v>
      </c>
      <c r="F712" s="34">
        <f t="shared" ca="1" si="11"/>
        <v>1500</v>
      </c>
    </row>
    <row r="713" spans="1:6" ht="14.25" customHeight="1" x14ac:dyDescent="0.25">
      <c r="A713" s="30" t="s">
        <v>117</v>
      </c>
      <c r="B713" s="31" t="str">
        <f ca="1">IFERROR(INDEX(UNSPSCDes,MATCH(INDIRECT(ADDRESS(ROW(),COLUMN()-1,4)),UNSPSCCode,0)),IF(INDIRECT(ADDRESS(ROW(),COLUMN()-1,4))="40151610","Piezas de compresor o accesorios",""))</f>
        <v>Piezas de compresor o accesorios</v>
      </c>
      <c r="C713" s="32" t="str">
        <f>IFERROR(VLOOKUP("UD",'[1]Informacion '!P:Q,2,FALSE),"")</f>
        <v>Unidad</v>
      </c>
      <c r="D713" s="30">
        <v>6</v>
      </c>
      <c r="E713" s="33">
        <v>250</v>
      </c>
      <c r="F713" s="34">
        <f t="shared" ca="1" si="11"/>
        <v>1500</v>
      </c>
    </row>
    <row r="714" spans="1:6" ht="14.25" customHeight="1" x14ac:dyDescent="0.25">
      <c r="A714" s="30" t="s">
        <v>117</v>
      </c>
      <c r="B714" s="31" t="str">
        <f ca="1">IFERROR(INDEX(UNSPSCDes,MATCH(INDIRECT(ADDRESS(ROW(),COLUMN()-1,4)),UNSPSCCode,0)),IF(INDIRECT(ADDRESS(ROW(),COLUMN()-1,4))="40151610","Piezas de compresor o accesorios",""))</f>
        <v>Piezas de compresor o accesorios</v>
      </c>
      <c r="C714" s="32" t="str">
        <f>IFERROR(VLOOKUP("UD",'[1]Informacion '!P:Q,2,FALSE),"")</f>
        <v>Unidad</v>
      </c>
      <c r="D714" s="30">
        <v>4</v>
      </c>
      <c r="E714" s="33">
        <v>400</v>
      </c>
      <c r="F714" s="34">
        <f t="shared" ca="1" si="11"/>
        <v>1600</v>
      </c>
    </row>
    <row r="715" spans="1:6" ht="14.25" customHeight="1" x14ac:dyDescent="0.25">
      <c r="A715" s="30" t="s">
        <v>117</v>
      </c>
      <c r="B715" s="31" t="str">
        <f ca="1">IFERROR(INDEX(UNSPSCDes,MATCH(INDIRECT(ADDRESS(ROW(),COLUMN()-1,4)),UNSPSCCode,0)),IF(INDIRECT(ADDRESS(ROW(),COLUMN()-1,4))="40151610","Piezas de compresor o accesorios",""))</f>
        <v>Piezas de compresor o accesorios</v>
      </c>
      <c r="C715" s="32" t="str">
        <f>IFERROR(VLOOKUP("UD",'[1]Informacion '!P:Q,2,FALSE),"")</f>
        <v>Unidad</v>
      </c>
      <c r="D715" s="30">
        <v>3</v>
      </c>
      <c r="E715" s="33">
        <v>400</v>
      </c>
      <c r="F715" s="34">
        <f t="shared" ca="1" si="11"/>
        <v>1200</v>
      </c>
    </row>
    <row r="716" spans="1:6" ht="14.25" customHeight="1" x14ac:dyDescent="0.25">
      <c r="A716" s="30" t="s">
        <v>223</v>
      </c>
      <c r="B716" s="31" t="str">
        <f ca="1">IFERROR(INDEX(UNSPSCDes,MATCH(INDIRECT(ADDRESS(ROW(),COLUMN()-1,4)),UNSPSCCode,0)),IF(INDIRECT(ADDRESS(ROW(),COLUMN()-1,4))="46171501","Candados",""))</f>
        <v>Candados</v>
      </c>
      <c r="C716" s="32" t="str">
        <f>IFERROR(VLOOKUP("UD",'[1]Informacion '!P:Q,2,FALSE),"")</f>
        <v>Unidad</v>
      </c>
      <c r="D716" s="30">
        <v>3</v>
      </c>
      <c r="E716" s="33">
        <v>130</v>
      </c>
      <c r="F716" s="34">
        <f t="shared" ca="1" si="11"/>
        <v>390</v>
      </c>
    </row>
    <row r="717" spans="1:6" ht="14.25" customHeight="1" x14ac:dyDescent="0.25">
      <c r="A717" s="30" t="s">
        <v>223</v>
      </c>
      <c r="B717" s="31" t="str">
        <f ca="1">IFERROR(INDEX(UNSPSCDes,MATCH(INDIRECT(ADDRESS(ROW(),COLUMN()-1,4)),UNSPSCCode,0)),IF(INDIRECT(ADDRESS(ROW(),COLUMN()-1,4))="46171501","Candados",""))</f>
        <v>Candados</v>
      </c>
      <c r="C717" s="32" t="str">
        <f>IFERROR(VLOOKUP("UD",'[1]Informacion '!P:Q,2,FALSE),"")</f>
        <v>Unidad</v>
      </c>
      <c r="D717" s="30">
        <v>2</v>
      </c>
      <c r="E717" s="33">
        <v>1000</v>
      </c>
      <c r="F717" s="34">
        <f t="shared" ca="1" si="11"/>
        <v>2000</v>
      </c>
    </row>
    <row r="718" spans="1:6" ht="14.25" customHeight="1" x14ac:dyDescent="0.25">
      <c r="A718" s="30" t="s">
        <v>224</v>
      </c>
      <c r="B718" s="31" t="str">
        <f ca="1">IFERROR(INDEX(UNSPSCDes,MATCH(INDIRECT(ADDRESS(ROW(),COLUMN()-1,4)),UNSPSCCode,0)),IF(INDIRECT(ADDRESS(ROW(),COLUMN()-1,4))="47131705","Accesorios para urinales o inodoros",""))</f>
        <v>Accesorios para urinales o inodoros</v>
      </c>
      <c r="C718" s="32" t="str">
        <f>IFERROR(VLOOKUP("UD",'[1]Informacion '!P:Q,2,FALSE),"")</f>
        <v>Unidad</v>
      </c>
      <c r="D718" s="30">
        <v>20</v>
      </c>
      <c r="E718" s="33">
        <v>200</v>
      </c>
      <c r="F718" s="34">
        <f t="shared" ca="1" si="11"/>
        <v>4000</v>
      </c>
    </row>
    <row r="719" spans="1:6" ht="14.25" customHeight="1" x14ac:dyDescent="0.25">
      <c r="A719" s="30" t="s">
        <v>225</v>
      </c>
      <c r="B719" s="31" t="str">
        <f ca="1">IFERROR(INDEX(UNSPSCDes,MATCH(INDIRECT(ADDRESS(ROW(),COLUMN()-1,4)),UNSPSCCode,0)),IF(INDIRECT(ADDRESS(ROW(),COLUMN()-1,4))="47131807","Blanqueadores",""))</f>
        <v>Blanqueadores</v>
      </c>
      <c r="C719" s="32" t="str">
        <f>IFERROR(VLOOKUP("UD",'[1]Informacion '!P:Q,2,FALSE),"")</f>
        <v>Unidad</v>
      </c>
      <c r="D719" s="30">
        <v>30</v>
      </c>
      <c r="E719" s="33">
        <v>80</v>
      </c>
      <c r="F719" s="34">
        <f t="shared" ca="1" si="11"/>
        <v>2400</v>
      </c>
    </row>
    <row r="720" spans="1:6" ht="14.25" customHeight="1" x14ac:dyDescent="0.25">
      <c r="E720" s="35" t="s">
        <v>47</v>
      </c>
      <c r="F720" s="36">
        <f ca="1">SUM(Table49[MONTO TOTAL ESTIMADO])</f>
        <v>375850</v>
      </c>
    </row>
    <row r="722" spans="1:6" ht="33.950000000000003" customHeight="1" thickBot="1" x14ac:dyDescent="0.3">
      <c r="A722" s="21" t="s">
        <v>19</v>
      </c>
      <c r="B722" s="21" t="s">
        <v>20</v>
      </c>
      <c r="C722" s="21" t="s">
        <v>21</v>
      </c>
      <c r="D722" s="21" t="s">
        <v>22</v>
      </c>
      <c r="E722" s="21" t="s">
        <v>23</v>
      </c>
      <c r="F722" s="21" t="s">
        <v>24</v>
      </c>
    </row>
    <row r="723" spans="1:6" ht="14.25" customHeight="1" thickBot="1" x14ac:dyDescent="0.3">
      <c r="A723" s="23" t="s">
        <v>226</v>
      </c>
      <c r="B723" s="23" t="s">
        <v>226</v>
      </c>
      <c r="C723" s="23" t="s">
        <v>55</v>
      </c>
      <c r="D723" s="23" t="s">
        <v>27</v>
      </c>
      <c r="E723" s="23" t="s">
        <v>49</v>
      </c>
      <c r="F723" s="23"/>
    </row>
    <row r="724" spans="1:6" ht="14.25" customHeight="1" thickBot="1" x14ac:dyDescent="0.3">
      <c r="A724" s="39" t="s">
        <v>29</v>
      </c>
      <c r="B724" s="24" t="s">
        <v>30</v>
      </c>
      <c r="C724" s="25">
        <v>45754</v>
      </c>
      <c r="D724" s="39" t="s">
        <v>31</v>
      </c>
      <c r="E724" s="26" t="s">
        <v>32</v>
      </c>
      <c r="F724" s="27" t="s">
        <v>33</v>
      </c>
    </row>
    <row r="725" spans="1:6" ht="14.25" customHeight="1" thickBot="1" x14ac:dyDescent="0.3">
      <c r="A725" s="40"/>
      <c r="B725" s="24" t="s">
        <v>34</v>
      </c>
      <c r="C725" s="28">
        <f>IF(C724="","",IF(AND(MONTH(C724)&gt;=1,MONTH(C724)&lt;=3),1,IF(AND(MONTH(C724)&gt;=4,MONTH(C724)&lt;=6),2,IF(AND(MONTH(C724)&gt;=7,MONTH(C724)&lt;=9),3,4))))</f>
        <v>2</v>
      </c>
      <c r="D725" s="40"/>
      <c r="E725" s="26" t="s">
        <v>35</v>
      </c>
      <c r="F725" s="27" t="s">
        <v>36</v>
      </c>
    </row>
    <row r="726" spans="1:6" ht="14.25" customHeight="1" thickBot="1" x14ac:dyDescent="0.3">
      <c r="A726" s="40"/>
      <c r="B726" s="24" t="s">
        <v>37</v>
      </c>
      <c r="C726" s="25">
        <v>45768</v>
      </c>
      <c r="D726" s="40"/>
      <c r="E726" s="26" t="s">
        <v>38</v>
      </c>
      <c r="F726" s="27" t="s">
        <v>36</v>
      </c>
    </row>
    <row r="727" spans="1:6" ht="14.25" customHeight="1" thickBot="1" x14ac:dyDescent="0.3">
      <c r="A727" s="40"/>
      <c r="B727" s="24" t="s">
        <v>34</v>
      </c>
      <c r="C727" s="28">
        <f>IF(C726="","",IF(AND(MONTH(C726)&gt;=1,MONTH(C726)&lt;=3),1,IF(AND(MONTH(C726)&gt;=4,MONTH(C726)&lt;=6),2,IF(AND(MONTH(C726)&gt;=7,MONTH(C726)&lt;=9),3,4))))</f>
        <v>2</v>
      </c>
      <c r="D727" s="40"/>
      <c r="E727" s="26" t="s">
        <v>39</v>
      </c>
      <c r="F727" s="27"/>
    </row>
    <row r="729" spans="1:6" ht="14.25" customHeight="1" thickBot="1" x14ac:dyDescent="0.3">
      <c r="A729" s="29" t="s">
        <v>40</v>
      </c>
      <c r="B729" s="29" t="s">
        <v>41</v>
      </c>
      <c r="C729" s="29" t="s">
        <v>42</v>
      </c>
      <c r="D729" s="29" t="s">
        <v>43</v>
      </c>
      <c r="E729" s="29" t="s">
        <v>44</v>
      </c>
      <c r="F729" s="29" t="s">
        <v>45</v>
      </c>
    </row>
    <row r="730" spans="1:6" ht="14.25" customHeight="1" x14ac:dyDescent="0.25">
      <c r="A730" s="30" t="s">
        <v>227</v>
      </c>
      <c r="B730" s="31" t="str">
        <f ca="1">IFERROR(INDEX(UNSPSCDes,MATCH(INDIRECT(ADDRESS(ROW(),COLUMN()-1,4)),UNSPSCCode,0)),IF(INDIRECT(ADDRESS(ROW(),COLUMN()-1,4))="55121715","Banderas o accesorios",""))</f>
        <v>Banderas o accesorios</v>
      </c>
      <c r="C730" s="32" t="str">
        <f>IFERROR(VLOOKUP("UD",'[1]Informacion '!P:Q,2,FALSE),"")</f>
        <v>Unidad</v>
      </c>
      <c r="D730" s="30">
        <v>20</v>
      </c>
      <c r="E730" s="33">
        <v>6500</v>
      </c>
      <c r="F730" s="34">
        <f ca="1">INDIRECT(ADDRESS(ROW(),COLUMN()-2,4))*INDIRECT(ADDRESS(ROW(),COLUMN()-1,4))</f>
        <v>130000</v>
      </c>
    </row>
    <row r="731" spans="1:6" ht="14.25" customHeight="1" x14ac:dyDescent="0.25">
      <c r="A731" s="30" t="s">
        <v>227</v>
      </c>
      <c r="B731" s="31" t="str">
        <f ca="1">IFERROR(INDEX(UNSPSCDes,MATCH(INDIRECT(ADDRESS(ROW(),COLUMN()-1,4)),UNSPSCCode,0)),IF(INDIRECT(ADDRESS(ROW(),COLUMN()-1,4))="55121715","Banderas o accesorios",""))</f>
        <v>Banderas o accesorios</v>
      </c>
      <c r="C731" s="32" t="str">
        <f>IFERROR(VLOOKUP("UD",'[1]Informacion '!P:Q,2,FALSE),"")</f>
        <v>Unidad</v>
      </c>
      <c r="D731" s="30">
        <v>3</v>
      </c>
      <c r="E731" s="33">
        <v>6500</v>
      </c>
      <c r="F731" s="34">
        <f ca="1">INDIRECT(ADDRESS(ROW(),COLUMN()-2,4))*INDIRECT(ADDRESS(ROW(),COLUMN()-1,4))</f>
        <v>19500</v>
      </c>
    </row>
    <row r="732" spans="1:6" ht="14.25" customHeight="1" x14ac:dyDescent="0.25">
      <c r="A732" s="30" t="s">
        <v>227</v>
      </c>
      <c r="B732" s="31" t="str">
        <f ca="1">IFERROR(INDEX(UNSPSCDes,MATCH(INDIRECT(ADDRESS(ROW(),COLUMN()-1,4)),UNSPSCCode,0)),IF(INDIRECT(ADDRESS(ROW(),COLUMN()-1,4))="55121715","Banderas o accesorios",""))</f>
        <v>Banderas o accesorios</v>
      </c>
      <c r="C732" s="32" t="str">
        <f>IFERROR(VLOOKUP("UD",'[1]Informacion '!P:Q,2,FALSE),"")</f>
        <v>Unidad</v>
      </c>
      <c r="D732" s="30">
        <v>15</v>
      </c>
      <c r="E732" s="33">
        <v>6000</v>
      </c>
      <c r="F732" s="34">
        <f ca="1">INDIRECT(ADDRESS(ROW(),COLUMN()-2,4))*INDIRECT(ADDRESS(ROW(),COLUMN()-1,4))</f>
        <v>90000</v>
      </c>
    </row>
    <row r="733" spans="1:6" ht="14.25" customHeight="1" x14ac:dyDescent="0.25">
      <c r="E733" s="35" t="s">
        <v>47</v>
      </c>
      <c r="F733" s="36">
        <f ca="1">SUM(Table50[MONTO TOTAL ESTIMADO])</f>
        <v>239500</v>
      </c>
    </row>
    <row r="735" spans="1:6" ht="33.950000000000003" customHeight="1" thickBot="1" x14ac:dyDescent="0.3">
      <c r="A735" s="21" t="s">
        <v>19</v>
      </c>
      <c r="B735" s="21" t="s">
        <v>20</v>
      </c>
      <c r="C735" s="21" t="s">
        <v>21</v>
      </c>
      <c r="D735" s="21" t="s">
        <v>22</v>
      </c>
      <c r="E735" s="21" t="s">
        <v>23</v>
      </c>
      <c r="F735" s="21" t="s">
        <v>24</v>
      </c>
    </row>
    <row r="736" spans="1:6" ht="14.25" customHeight="1" thickBot="1" x14ac:dyDescent="0.3">
      <c r="A736" s="23" t="s">
        <v>228</v>
      </c>
      <c r="B736" s="23" t="s">
        <v>229</v>
      </c>
      <c r="C736" s="23" t="s">
        <v>55</v>
      </c>
      <c r="D736" s="23" t="s">
        <v>27</v>
      </c>
      <c r="E736" s="23" t="s">
        <v>52</v>
      </c>
      <c r="F736" s="23"/>
    </row>
    <row r="737" spans="1:6" ht="14.25" customHeight="1" thickBot="1" x14ac:dyDescent="0.3">
      <c r="A737" s="39" t="s">
        <v>29</v>
      </c>
      <c r="B737" s="24" t="s">
        <v>30</v>
      </c>
      <c r="C737" s="25">
        <v>45845</v>
      </c>
      <c r="D737" s="39" t="s">
        <v>31</v>
      </c>
      <c r="E737" s="26" t="s">
        <v>32</v>
      </c>
      <c r="F737" s="27" t="s">
        <v>33</v>
      </c>
    </row>
    <row r="738" spans="1:6" ht="14.25" customHeight="1" thickBot="1" x14ac:dyDescent="0.3">
      <c r="A738" s="40"/>
      <c r="B738" s="24" t="s">
        <v>34</v>
      </c>
      <c r="C738" s="28">
        <f>IF(C737="","",IF(AND(MONTH(C737)&gt;=1,MONTH(C737)&lt;=3),1,IF(AND(MONTH(C737)&gt;=4,MONTH(C737)&lt;=6),2,IF(AND(MONTH(C737)&gt;=7,MONTH(C737)&lt;=9),3,4))))</f>
        <v>3</v>
      </c>
      <c r="D738" s="40"/>
      <c r="E738" s="26" t="s">
        <v>35</v>
      </c>
      <c r="F738" s="27" t="s">
        <v>36</v>
      </c>
    </row>
    <row r="739" spans="1:6" ht="14.25" customHeight="1" thickBot="1" x14ac:dyDescent="0.3">
      <c r="A739" s="40"/>
      <c r="B739" s="24" t="s">
        <v>37</v>
      </c>
      <c r="C739" s="25">
        <v>45859</v>
      </c>
      <c r="D739" s="40"/>
      <c r="E739" s="26" t="s">
        <v>38</v>
      </c>
      <c r="F739" s="27" t="s">
        <v>36</v>
      </c>
    </row>
    <row r="740" spans="1:6" ht="14.25" customHeight="1" thickBot="1" x14ac:dyDescent="0.3">
      <c r="A740" s="40"/>
      <c r="B740" s="24" t="s">
        <v>34</v>
      </c>
      <c r="C740" s="28">
        <f>IF(C739="","",IF(AND(MONTH(C739)&gt;=1,MONTH(C739)&lt;=3),1,IF(AND(MONTH(C739)&gt;=4,MONTH(C739)&lt;=6),2,IF(AND(MONTH(C739)&gt;=7,MONTH(C739)&lt;=9),3,4))))</f>
        <v>3</v>
      </c>
      <c r="D740" s="40"/>
      <c r="E740" s="26" t="s">
        <v>39</v>
      </c>
      <c r="F740" s="27"/>
    </row>
    <row r="742" spans="1:6" ht="14.25" customHeight="1" thickBot="1" x14ac:dyDescent="0.3">
      <c r="A742" s="29" t="s">
        <v>40</v>
      </c>
      <c r="B742" s="29" t="s">
        <v>41</v>
      </c>
      <c r="C742" s="29" t="s">
        <v>42</v>
      </c>
      <c r="D742" s="29" t="s">
        <v>43</v>
      </c>
      <c r="E742" s="29" t="s">
        <v>44</v>
      </c>
      <c r="F742" s="29" t="s">
        <v>45</v>
      </c>
    </row>
    <row r="743" spans="1:6" ht="14.25" customHeight="1" x14ac:dyDescent="0.25">
      <c r="A743" s="30" t="s">
        <v>125</v>
      </c>
      <c r="B743" s="31" t="str">
        <f ca="1">IFERROR(INDEX(UNSPSCDes,MATCH(INDIRECT(ADDRESS(ROW(),COLUMN()-1,4)),UNSPSCCode,0)),IF(INDIRECT(ADDRESS(ROW(),COLUMN()-1,4))="26111707","Baterías de plomo-ácido",""))</f>
        <v>Baterías de plomo-ácido</v>
      </c>
      <c r="C743" s="32" t="str">
        <f>IFERROR(VLOOKUP("UD",'[1]Informacion '!P:Q,2,FALSE),"")</f>
        <v>Unidad</v>
      </c>
      <c r="D743" s="30">
        <v>9</v>
      </c>
      <c r="E743" s="33">
        <v>10000</v>
      </c>
      <c r="F743" s="34">
        <f ca="1">INDIRECT(ADDRESS(ROW(),COLUMN()-2,4))*INDIRECT(ADDRESS(ROW(),COLUMN()-1,4))</f>
        <v>90000</v>
      </c>
    </row>
    <row r="744" spans="1:6" ht="14.25" customHeight="1" x14ac:dyDescent="0.25">
      <c r="A744" s="30" t="s">
        <v>126</v>
      </c>
      <c r="B744" s="31" t="str">
        <f ca="1">IFERROR(INDEX(UNSPSCDes,MATCH(INDIRECT(ADDRESS(ROW(),COLUMN()-1,4)),UNSPSCCode,0)),IF(INDIRECT(ADDRESS(ROW(),COLUMN()-1,4))="26111703","Baterías para vehículos",""))</f>
        <v>Baterías para vehículos</v>
      </c>
      <c r="C744" s="32" t="str">
        <f>IFERROR(VLOOKUP("UD",'[1]Informacion '!P:Q,2,FALSE),"")</f>
        <v>Unidad</v>
      </c>
      <c r="D744" s="30">
        <v>5</v>
      </c>
      <c r="E744" s="33">
        <v>8000</v>
      </c>
      <c r="F744" s="34">
        <f ca="1">INDIRECT(ADDRESS(ROW(),COLUMN()-2,4))*INDIRECT(ADDRESS(ROW(),COLUMN()-1,4))</f>
        <v>40000</v>
      </c>
    </row>
    <row r="745" spans="1:6" ht="14.25" customHeight="1" x14ac:dyDescent="0.25">
      <c r="E745" s="35" t="s">
        <v>47</v>
      </c>
      <c r="F745" s="36">
        <f ca="1">SUM(Table51[MONTO TOTAL ESTIMADO])</f>
        <v>130000</v>
      </c>
    </row>
    <row r="747" spans="1:6" ht="33.950000000000003" customHeight="1" thickBot="1" x14ac:dyDescent="0.3">
      <c r="A747" s="21" t="s">
        <v>19</v>
      </c>
      <c r="B747" s="21" t="s">
        <v>20</v>
      </c>
      <c r="C747" s="21" t="s">
        <v>21</v>
      </c>
      <c r="D747" s="21" t="s">
        <v>22</v>
      </c>
      <c r="E747" s="21" t="s">
        <v>23</v>
      </c>
      <c r="F747" s="21" t="s">
        <v>24</v>
      </c>
    </row>
    <row r="748" spans="1:6" ht="14.25" customHeight="1" thickBot="1" x14ac:dyDescent="0.3">
      <c r="A748" s="23" t="s">
        <v>230</v>
      </c>
      <c r="B748" s="23" t="s">
        <v>230</v>
      </c>
      <c r="C748" s="23" t="s">
        <v>26</v>
      </c>
      <c r="D748" s="23" t="s">
        <v>62</v>
      </c>
      <c r="E748" s="23" t="s">
        <v>49</v>
      </c>
      <c r="F748" s="23"/>
    </row>
    <row r="749" spans="1:6" ht="14.25" customHeight="1" thickBot="1" x14ac:dyDescent="0.3">
      <c r="A749" s="39" t="s">
        <v>29</v>
      </c>
      <c r="B749" s="24" t="s">
        <v>30</v>
      </c>
      <c r="C749" s="25">
        <v>45761</v>
      </c>
      <c r="D749" s="39" t="s">
        <v>31</v>
      </c>
      <c r="E749" s="26" t="s">
        <v>32</v>
      </c>
      <c r="F749" s="27" t="s">
        <v>33</v>
      </c>
    </row>
    <row r="750" spans="1:6" ht="14.25" customHeight="1" thickBot="1" x14ac:dyDescent="0.3">
      <c r="A750" s="40"/>
      <c r="B750" s="24" t="s">
        <v>34</v>
      </c>
      <c r="C750" s="28">
        <f>IF(C749="","",IF(AND(MONTH(C749)&gt;=1,MONTH(C749)&lt;=3),1,IF(AND(MONTH(C749)&gt;=4,MONTH(C749)&lt;=6),2,IF(AND(MONTH(C749)&gt;=7,MONTH(C749)&lt;=9),3,4))))</f>
        <v>2</v>
      </c>
      <c r="D750" s="40"/>
      <c r="E750" s="26" t="s">
        <v>35</v>
      </c>
      <c r="F750" s="27" t="s">
        <v>36</v>
      </c>
    </row>
    <row r="751" spans="1:6" ht="14.25" customHeight="1" thickBot="1" x14ac:dyDescent="0.3">
      <c r="A751" s="40"/>
      <c r="B751" s="24" t="s">
        <v>37</v>
      </c>
      <c r="C751" s="25">
        <v>45775</v>
      </c>
      <c r="D751" s="40"/>
      <c r="E751" s="26" t="s">
        <v>38</v>
      </c>
      <c r="F751" s="27" t="s">
        <v>36</v>
      </c>
    </row>
    <row r="752" spans="1:6" ht="14.25" customHeight="1" thickBot="1" x14ac:dyDescent="0.3">
      <c r="A752" s="40"/>
      <c r="B752" s="24" t="s">
        <v>34</v>
      </c>
      <c r="C752" s="28">
        <f>IF(C751="","",IF(AND(MONTH(C751)&gt;=1,MONTH(C751)&lt;=3),1,IF(AND(MONTH(C751)&gt;=4,MONTH(C751)&lt;=6),2,IF(AND(MONTH(C751)&gt;=7,MONTH(C751)&lt;=9),3,4))))</f>
        <v>2</v>
      </c>
      <c r="D752" s="40"/>
      <c r="E752" s="26" t="s">
        <v>39</v>
      </c>
      <c r="F752" s="27"/>
    </row>
    <row r="754" spans="1:6" ht="14.25" customHeight="1" thickBot="1" x14ac:dyDescent="0.3">
      <c r="A754" s="29" t="s">
        <v>40</v>
      </c>
      <c r="B754" s="29" t="s">
        <v>41</v>
      </c>
      <c r="C754" s="29" t="s">
        <v>42</v>
      </c>
      <c r="D754" s="29" t="s">
        <v>43</v>
      </c>
      <c r="E754" s="29" t="s">
        <v>44</v>
      </c>
      <c r="F754" s="29" t="s">
        <v>45</v>
      </c>
    </row>
    <row r="755" spans="1:6" ht="14.25" customHeight="1" x14ac:dyDescent="0.25">
      <c r="A755" s="30" t="s">
        <v>231</v>
      </c>
      <c r="B755" s="31"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755" s="32" t="str">
        <f>IFERROR(VLOOKUP("UD",'[1]Informacion '!P:Q,2,FALSE),"")</f>
        <v>Unidad</v>
      </c>
      <c r="D755" s="30">
        <v>1</v>
      </c>
      <c r="E755" s="33">
        <v>100000</v>
      </c>
      <c r="F755" s="34">
        <f ca="1">INDIRECT(ADDRESS(ROW(),COLUMN()-2,4))*INDIRECT(ADDRESS(ROW(),COLUMN()-1,4))</f>
        <v>100000</v>
      </c>
    </row>
    <row r="756" spans="1:6" ht="14.25" customHeight="1" x14ac:dyDescent="0.25">
      <c r="A756" s="30" t="s">
        <v>161</v>
      </c>
      <c r="B756" s="31" t="str">
        <f ca="1">IFERROR(INDEX(UNSPSCDes,MATCH(INDIRECT(ADDRESS(ROW(),COLUMN()-1,4)),UNSPSCCode,0)),IF(INDIRECT(ADDRESS(ROW(),COLUMN()-1,4))="72101517","Servicio de mantenimiento o reparación de generadores portátiles",""))</f>
        <v>Servicio de mantenimiento o reparación de generadores portátiles</v>
      </c>
      <c r="C756" s="32" t="str">
        <f>IFERROR(VLOOKUP("UD",'[1]Informacion '!P:Q,2,FALSE),"")</f>
        <v>Unidad</v>
      </c>
      <c r="D756" s="30">
        <v>1</v>
      </c>
      <c r="E756" s="33">
        <v>200000</v>
      </c>
      <c r="F756" s="34">
        <f ca="1">INDIRECT(ADDRESS(ROW(),COLUMN()-2,4))*INDIRECT(ADDRESS(ROW(),COLUMN()-1,4))</f>
        <v>200000</v>
      </c>
    </row>
    <row r="757" spans="1:6" ht="14.25" customHeight="1" x14ac:dyDescent="0.25">
      <c r="E757" s="35" t="s">
        <v>47</v>
      </c>
      <c r="F757" s="36">
        <f ca="1">SUM(Table52[MONTO TOTAL ESTIMADO])</f>
        <v>300000</v>
      </c>
    </row>
    <row r="759" spans="1:6" ht="33.950000000000003" customHeight="1" thickBot="1" x14ac:dyDescent="0.3">
      <c r="A759" s="21" t="s">
        <v>19</v>
      </c>
      <c r="B759" s="21" t="s">
        <v>20</v>
      </c>
      <c r="C759" s="21" t="s">
        <v>21</v>
      </c>
      <c r="D759" s="21" t="s">
        <v>22</v>
      </c>
      <c r="E759" s="21" t="s">
        <v>23</v>
      </c>
      <c r="F759" s="21" t="s">
        <v>24</v>
      </c>
    </row>
    <row r="760" spans="1:6" ht="14.25" customHeight="1" thickBot="1" x14ac:dyDescent="0.3">
      <c r="A760" s="23" t="s">
        <v>232</v>
      </c>
      <c r="B760" s="23" t="s">
        <v>233</v>
      </c>
      <c r="C760" s="23" t="s">
        <v>55</v>
      </c>
      <c r="D760" s="23" t="s">
        <v>27</v>
      </c>
      <c r="E760" s="23" t="s">
        <v>49</v>
      </c>
      <c r="F760" s="23"/>
    </row>
    <row r="761" spans="1:6" ht="14.25" customHeight="1" thickBot="1" x14ac:dyDescent="0.3">
      <c r="A761" s="39" t="s">
        <v>29</v>
      </c>
      <c r="B761" s="24" t="s">
        <v>30</v>
      </c>
      <c r="C761" s="25">
        <v>45782</v>
      </c>
      <c r="D761" s="39" t="s">
        <v>31</v>
      </c>
      <c r="E761" s="26" t="s">
        <v>32</v>
      </c>
      <c r="F761" s="27" t="s">
        <v>33</v>
      </c>
    </row>
    <row r="762" spans="1:6" ht="14.25" customHeight="1" thickBot="1" x14ac:dyDescent="0.3">
      <c r="A762" s="40"/>
      <c r="B762" s="24" t="s">
        <v>34</v>
      </c>
      <c r="C762" s="28">
        <f>IF(C761="","",IF(AND(MONTH(C761)&gt;=1,MONTH(C761)&lt;=3),1,IF(AND(MONTH(C761)&gt;=4,MONTH(C761)&lt;=6),2,IF(AND(MONTH(C761)&gt;=7,MONTH(C761)&lt;=9),3,4))))</f>
        <v>2</v>
      </c>
      <c r="D762" s="40"/>
      <c r="E762" s="26" t="s">
        <v>35</v>
      </c>
      <c r="F762" s="27" t="s">
        <v>36</v>
      </c>
    </row>
    <row r="763" spans="1:6" ht="14.25" customHeight="1" thickBot="1" x14ac:dyDescent="0.3">
      <c r="A763" s="40"/>
      <c r="B763" s="24" t="s">
        <v>37</v>
      </c>
      <c r="C763" s="25">
        <v>45796</v>
      </c>
      <c r="D763" s="40"/>
      <c r="E763" s="26" t="s">
        <v>38</v>
      </c>
      <c r="F763" s="27" t="s">
        <v>36</v>
      </c>
    </row>
    <row r="764" spans="1:6" ht="14.25" customHeight="1" thickBot="1" x14ac:dyDescent="0.3">
      <c r="A764" s="40"/>
      <c r="B764" s="24" t="s">
        <v>34</v>
      </c>
      <c r="C764" s="28">
        <f>IF(C763="","",IF(AND(MONTH(C763)&gt;=1,MONTH(C763)&lt;=3),1,IF(AND(MONTH(C763)&gt;=4,MONTH(C763)&lt;=6),2,IF(AND(MONTH(C763)&gt;=7,MONTH(C763)&lt;=9),3,4))))</f>
        <v>2</v>
      </c>
      <c r="D764" s="40"/>
      <c r="E764" s="26" t="s">
        <v>39</v>
      </c>
      <c r="F764" s="27"/>
    </row>
    <row r="766" spans="1:6" ht="14.25" customHeight="1" thickBot="1" x14ac:dyDescent="0.3">
      <c r="A766" s="29" t="s">
        <v>40</v>
      </c>
      <c r="B766" s="29" t="s">
        <v>41</v>
      </c>
      <c r="C766" s="29" t="s">
        <v>42</v>
      </c>
      <c r="D766" s="29" t="s">
        <v>43</v>
      </c>
      <c r="E766" s="29" t="s">
        <v>44</v>
      </c>
      <c r="F766" s="29" t="s">
        <v>45</v>
      </c>
    </row>
    <row r="767" spans="1:6" ht="14.25" customHeight="1" x14ac:dyDescent="0.25">
      <c r="A767" s="30" t="s">
        <v>234</v>
      </c>
      <c r="B767" s="31" t="str">
        <f ca="1">IFERROR(INDEX(UNSPSCDes,MATCH(INDIRECT(ADDRESS(ROW(),COLUMN()-1,4)),UNSPSCCode,0)),IF(INDIRECT(ADDRESS(ROW(),COLUMN()-1,4))="31211501","Pinturas de esmalte",""))</f>
        <v>Pinturas de esmalte</v>
      </c>
      <c r="C767" s="32" t="str">
        <f>IFERROR(VLOOKUP("GAL",'[1]Informacion '!P:Q,2,FALSE),"")</f>
        <v>Galón</v>
      </c>
      <c r="D767" s="30">
        <v>4</v>
      </c>
      <c r="E767" s="33">
        <v>2000</v>
      </c>
      <c r="F767" s="34">
        <f t="shared" ref="F767:F780" ca="1" si="12">INDIRECT(ADDRESS(ROW(),COLUMN()-2,4))*INDIRECT(ADDRESS(ROW(),COLUMN()-1,4))</f>
        <v>8000</v>
      </c>
    </row>
    <row r="768" spans="1:6" ht="14.25" customHeight="1" x14ac:dyDescent="0.25">
      <c r="A768" s="30" t="s">
        <v>235</v>
      </c>
      <c r="B768" s="31" t="str">
        <f ca="1">IFERROR(INDEX(UNSPSCDes,MATCH(INDIRECT(ADDRESS(ROW(),COLUMN()-1,4)),UNSPSCCode,0)),IF(INDIRECT(ADDRESS(ROW(),COLUMN()-1,4))="31211502","Pinturas de agua",""))</f>
        <v>Pinturas de agua</v>
      </c>
      <c r="C768" s="32" t="str">
        <f>IFERROR(VLOOKUP("GAL",'[1]Informacion '!P:Q,2,FALSE),"")</f>
        <v>Galón</v>
      </c>
      <c r="D768" s="30">
        <v>8</v>
      </c>
      <c r="E768" s="33">
        <v>1500</v>
      </c>
      <c r="F768" s="34">
        <f t="shared" ca="1" si="12"/>
        <v>12000</v>
      </c>
    </row>
    <row r="769" spans="1:6" ht="14.25" customHeight="1" x14ac:dyDescent="0.25">
      <c r="A769" s="30" t="s">
        <v>236</v>
      </c>
      <c r="B769" s="31" t="str">
        <f ca="1">IFERROR(INDEX(UNSPSCDes,MATCH(INDIRECT(ADDRESS(ROW(),COLUMN()-1,4)),UNSPSCCode,0)),IF(INDIRECT(ADDRESS(ROW(),COLUMN()-1,4))="31211506","Pinturas de látex",""))</f>
        <v>Pinturas de látex</v>
      </c>
      <c r="C769" s="32" t="str">
        <f>IFERROR(VLOOKUP("UD",'[1]Informacion '!P:Q,2,FALSE),"")</f>
        <v>Unidad</v>
      </c>
      <c r="D769" s="30">
        <v>3</v>
      </c>
      <c r="E769" s="33">
        <v>7000</v>
      </c>
      <c r="F769" s="34">
        <f t="shared" ca="1" si="12"/>
        <v>21000</v>
      </c>
    </row>
    <row r="770" spans="1:6" ht="14.25" customHeight="1" x14ac:dyDescent="0.25">
      <c r="A770" s="30" t="s">
        <v>236</v>
      </c>
      <c r="B770" s="31" t="str">
        <f ca="1">IFERROR(INDEX(UNSPSCDes,MATCH(INDIRECT(ADDRESS(ROW(),COLUMN()-1,4)),UNSPSCCode,0)),IF(INDIRECT(ADDRESS(ROW(),COLUMN()-1,4))="31211506","Pinturas de látex",""))</f>
        <v>Pinturas de látex</v>
      </c>
      <c r="C770" s="32" t="str">
        <f>IFERROR(VLOOKUP("GAL",'[1]Informacion '!P:Q,2,FALSE),"")</f>
        <v>Galón</v>
      </c>
      <c r="D770" s="30">
        <v>2</v>
      </c>
      <c r="E770" s="33">
        <v>2500</v>
      </c>
      <c r="F770" s="34">
        <f t="shared" ca="1" si="12"/>
        <v>5000</v>
      </c>
    </row>
    <row r="771" spans="1:6" ht="14.25" customHeight="1" x14ac:dyDescent="0.25">
      <c r="A771" s="30" t="s">
        <v>236</v>
      </c>
      <c r="B771" s="31" t="str">
        <f ca="1">IFERROR(INDEX(UNSPSCDes,MATCH(INDIRECT(ADDRESS(ROW(),COLUMN()-1,4)),UNSPSCCode,0)),IF(INDIRECT(ADDRESS(ROW(),COLUMN()-1,4))="31211506","Pinturas de látex",""))</f>
        <v>Pinturas de látex</v>
      </c>
      <c r="C771" s="32" t="str">
        <f>IFERROR(VLOOKUP("GAL",'[1]Informacion '!P:Q,2,FALSE),"")</f>
        <v>Galón</v>
      </c>
      <c r="D771" s="30">
        <v>4</v>
      </c>
      <c r="E771" s="33">
        <v>2500</v>
      </c>
      <c r="F771" s="34">
        <f t="shared" ca="1" si="12"/>
        <v>10000</v>
      </c>
    </row>
    <row r="772" spans="1:6" ht="14.25" customHeight="1" x14ac:dyDescent="0.25">
      <c r="A772" s="30" t="s">
        <v>236</v>
      </c>
      <c r="B772" s="31" t="str">
        <f ca="1">IFERROR(INDEX(UNSPSCDes,MATCH(INDIRECT(ADDRESS(ROW(),COLUMN()-1,4)),UNSPSCCode,0)),IF(INDIRECT(ADDRESS(ROW(),COLUMN()-1,4))="31211506","Pinturas de látex",""))</f>
        <v>Pinturas de látex</v>
      </c>
      <c r="C772" s="32" t="str">
        <f>IFERROR(VLOOKUP("GAL",'[1]Informacion '!P:Q,2,FALSE),"")</f>
        <v>Galón</v>
      </c>
      <c r="D772" s="30">
        <v>4</v>
      </c>
      <c r="E772" s="33">
        <v>3000</v>
      </c>
      <c r="F772" s="34">
        <f t="shared" ca="1" si="12"/>
        <v>12000</v>
      </c>
    </row>
    <row r="773" spans="1:6" ht="14.25" customHeight="1" x14ac:dyDescent="0.25">
      <c r="A773" s="30" t="s">
        <v>237</v>
      </c>
      <c r="B773" s="31" t="str">
        <f ca="1">IFERROR(INDEX(UNSPSCDes,MATCH(INDIRECT(ADDRESS(ROW(),COLUMN()-1,4)),UNSPSCCode,0)),IF(INDIRECT(ADDRESS(ROW(),COLUMN()-1,4))="31211508","Pinturas acrílicas",""))</f>
        <v>Pinturas acrílicas</v>
      </c>
      <c r="C773" s="32" t="str">
        <f>IFERROR(VLOOKUP("UD",'[1]Informacion '!P:Q,2,FALSE),"")</f>
        <v>Unidad</v>
      </c>
      <c r="D773" s="30">
        <v>3</v>
      </c>
      <c r="E773" s="33">
        <v>7000</v>
      </c>
      <c r="F773" s="34">
        <f t="shared" ca="1" si="12"/>
        <v>21000</v>
      </c>
    </row>
    <row r="774" spans="1:6" ht="14.25" customHeight="1" x14ac:dyDescent="0.25">
      <c r="A774" s="30" t="s">
        <v>237</v>
      </c>
      <c r="B774" s="31" t="str">
        <f ca="1">IFERROR(INDEX(UNSPSCDes,MATCH(INDIRECT(ADDRESS(ROW(),COLUMN()-1,4)),UNSPSCCode,0)),IF(INDIRECT(ADDRESS(ROW(),COLUMN()-1,4))="31211508","Pinturas acrílicas",""))</f>
        <v>Pinturas acrílicas</v>
      </c>
      <c r="C774" s="32" t="str">
        <f>IFERROR(VLOOKUP("UD",'[1]Informacion '!P:Q,2,FALSE),"")</f>
        <v>Unidad</v>
      </c>
      <c r="D774" s="30">
        <v>3</v>
      </c>
      <c r="E774" s="33">
        <v>7000</v>
      </c>
      <c r="F774" s="34">
        <f t="shared" ca="1" si="12"/>
        <v>21000</v>
      </c>
    </row>
    <row r="775" spans="1:6" ht="14.25" customHeight="1" x14ac:dyDescent="0.25">
      <c r="A775" s="30" t="s">
        <v>237</v>
      </c>
      <c r="B775" s="31" t="str">
        <f ca="1">IFERROR(INDEX(UNSPSCDes,MATCH(INDIRECT(ADDRESS(ROW(),COLUMN()-1,4)),UNSPSCCode,0)),IF(INDIRECT(ADDRESS(ROW(),COLUMN()-1,4))="31211508","Pinturas acrílicas",""))</f>
        <v>Pinturas acrílicas</v>
      </c>
      <c r="C775" s="32" t="str">
        <f>IFERROR(VLOOKUP("UD",'[1]Informacion '!P:Q,2,FALSE),"")</f>
        <v>Unidad</v>
      </c>
      <c r="D775" s="30">
        <v>3</v>
      </c>
      <c r="E775" s="33">
        <v>7000</v>
      </c>
      <c r="F775" s="34">
        <f t="shared" ca="1" si="12"/>
        <v>21000</v>
      </c>
    </row>
    <row r="776" spans="1:6" ht="14.25" customHeight="1" x14ac:dyDescent="0.25">
      <c r="A776" s="30" t="s">
        <v>238</v>
      </c>
      <c r="B776" s="31" t="str">
        <f ca="1">IFERROR(INDEX(UNSPSCDes,MATCH(INDIRECT(ADDRESS(ROW(),COLUMN()-1,4)),UNSPSCCode,0)),IF(INDIRECT(ADDRESS(ROW(),COLUMN()-1,4))="31211509","Bases para esmalte",""))</f>
        <v>Bases para esmalte</v>
      </c>
      <c r="C776" s="32" t="str">
        <f>IFERROR(VLOOKUP("GAL",'[1]Informacion '!P:Q,2,FALSE),"")</f>
        <v>Galón</v>
      </c>
      <c r="D776" s="30">
        <v>4</v>
      </c>
      <c r="E776" s="33">
        <v>2000</v>
      </c>
      <c r="F776" s="34">
        <f t="shared" ca="1" si="12"/>
        <v>8000</v>
      </c>
    </row>
    <row r="777" spans="1:6" ht="14.25" customHeight="1" x14ac:dyDescent="0.25">
      <c r="A777" s="30" t="s">
        <v>239</v>
      </c>
      <c r="B777" s="31" t="str">
        <f ca="1">IFERROR(INDEX(UNSPSCDes,MATCH(INDIRECT(ADDRESS(ROW(),COLUMN()-1,4)),UNSPSCCode,0)),IF(INDIRECT(ADDRESS(ROW(),COLUMN()-1,4))="31211904","Brochas",""))</f>
        <v>Brochas</v>
      </c>
      <c r="C777" s="32" t="str">
        <f>IFERROR(VLOOKUP("UD",'[1]Informacion '!P:Q,2,FALSE),"")</f>
        <v>Unidad</v>
      </c>
      <c r="D777" s="30">
        <v>12</v>
      </c>
      <c r="E777" s="33">
        <v>100</v>
      </c>
      <c r="F777" s="34">
        <f t="shared" ca="1" si="12"/>
        <v>1200</v>
      </c>
    </row>
    <row r="778" spans="1:6" ht="14.25" customHeight="1" x14ac:dyDescent="0.25">
      <c r="A778" s="30" t="s">
        <v>239</v>
      </c>
      <c r="B778" s="31" t="str">
        <f ca="1">IFERROR(INDEX(UNSPSCDes,MATCH(INDIRECT(ADDRESS(ROW(),COLUMN()-1,4)),UNSPSCCode,0)),IF(INDIRECT(ADDRESS(ROW(),COLUMN()-1,4))="31211904","Brochas",""))</f>
        <v>Brochas</v>
      </c>
      <c r="C778" s="32" t="str">
        <f>IFERROR(VLOOKUP("UD",'[1]Informacion '!P:Q,2,FALSE),"")</f>
        <v>Unidad</v>
      </c>
      <c r="D778" s="30">
        <v>12</v>
      </c>
      <c r="E778" s="33">
        <v>60</v>
      </c>
      <c r="F778" s="34">
        <f t="shared" ca="1" si="12"/>
        <v>720</v>
      </c>
    </row>
    <row r="779" spans="1:6" ht="14.25" customHeight="1" x14ac:dyDescent="0.25">
      <c r="A779" s="30" t="s">
        <v>239</v>
      </c>
      <c r="B779" s="31" t="str">
        <f ca="1">IFERROR(INDEX(UNSPSCDes,MATCH(INDIRECT(ADDRESS(ROW(),COLUMN()-1,4)),UNSPSCCode,0)),IF(INDIRECT(ADDRESS(ROW(),COLUMN()-1,4))="31211904","Brochas",""))</f>
        <v>Brochas</v>
      </c>
      <c r="C779" s="32" t="str">
        <f>IFERROR(VLOOKUP("UD",'[1]Informacion '!P:Q,2,FALSE),"")</f>
        <v>Unidad</v>
      </c>
      <c r="D779" s="30">
        <v>12</v>
      </c>
      <c r="E779" s="33">
        <v>120</v>
      </c>
      <c r="F779" s="34">
        <f t="shared" ca="1" si="12"/>
        <v>1440</v>
      </c>
    </row>
    <row r="780" spans="1:6" ht="14.25" customHeight="1" x14ac:dyDescent="0.25">
      <c r="A780" s="30" t="s">
        <v>240</v>
      </c>
      <c r="B780" s="31" t="str">
        <f ca="1">IFERROR(INDEX(UNSPSCDes,MATCH(INDIRECT(ADDRESS(ROW(),COLUMN()-1,4)),UNSPSCCode,0)),IF(INDIRECT(ADDRESS(ROW(),COLUMN()-1,4))="31211917","Cubiertas para rodillos de pintura",""))</f>
        <v>Cubiertas para rodillos de pintura</v>
      </c>
      <c r="C780" s="32" t="str">
        <f>IFERROR(VLOOKUP("UD",'[1]Informacion '!P:Q,2,FALSE),"")</f>
        <v>Unidad</v>
      </c>
      <c r="D780" s="30">
        <v>12</v>
      </c>
      <c r="E780" s="33">
        <v>100</v>
      </c>
      <c r="F780" s="34">
        <f t="shared" ca="1" si="12"/>
        <v>1200</v>
      </c>
    </row>
    <row r="781" spans="1:6" ht="14.25" customHeight="1" x14ac:dyDescent="0.25">
      <c r="E781" s="35" t="s">
        <v>47</v>
      </c>
      <c r="F781" s="36">
        <f ca="1">SUM(Table53[MONTO TOTAL ESTIMADO])</f>
        <v>143560</v>
      </c>
    </row>
    <row r="783" spans="1:6" ht="33.950000000000003" customHeight="1" thickBot="1" x14ac:dyDescent="0.3">
      <c r="A783" s="21" t="s">
        <v>19</v>
      </c>
      <c r="B783" s="21" t="s">
        <v>20</v>
      </c>
      <c r="C783" s="21" t="s">
        <v>21</v>
      </c>
      <c r="D783" s="21" t="s">
        <v>22</v>
      </c>
      <c r="E783" s="21" t="s">
        <v>23</v>
      </c>
      <c r="F783" s="21" t="s">
        <v>24</v>
      </c>
    </row>
    <row r="784" spans="1:6" ht="14.25" customHeight="1" thickBot="1" x14ac:dyDescent="0.3">
      <c r="A784" s="23" t="s">
        <v>241</v>
      </c>
      <c r="B784" s="23" t="s">
        <v>241</v>
      </c>
      <c r="C784" s="23" t="s">
        <v>55</v>
      </c>
      <c r="D784" s="23" t="s">
        <v>62</v>
      </c>
      <c r="E784" s="23" t="s">
        <v>52</v>
      </c>
      <c r="F784" s="23"/>
    </row>
    <row r="785" spans="1:6" ht="14.25" customHeight="1" thickBot="1" x14ac:dyDescent="0.3">
      <c r="A785" s="39" t="s">
        <v>29</v>
      </c>
      <c r="B785" s="24" t="s">
        <v>30</v>
      </c>
      <c r="C785" s="25">
        <v>45852</v>
      </c>
      <c r="D785" s="39" t="s">
        <v>31</v>
      </c>
      <c r="E785" s="26" t="s">
        <v>32</v>
      </c>
      <c r="F785" s="27" t="s">
        <v>33</v>
      </c>
    </row>
    <row r="786" spans="1:6" ht="14.25" customHeight="1" thickBot="1" x14ac:dyDescent="0.3">
      <c r="A786" s="40"/>
      <c r="B786" s="24" t="s">
        <v>34</v>
      </c>
      <c r="C786" s="28">
        <f>IF(C785="","",IF(AND(MONTH(C785)&gt;=1,MONTH(C785)&lt;=3),1,IF(AND(MONTH(C785)&gt;=4,MONTH(C785)&lt;=6),2,IF(AND(MONTH(C785)&gt;=7,MONTH(C785)&lt;=9),3,4))))</f>
        <v>3</v>
      </c>
      <c r="D786" s="40"/>
      <c r="E786" s="26" t="s">
        <v>35</v>
      </c>
      <c r="F786" s="27" t="s">
        <v>36</v>
      </c>
    </row>
    <row r="787" spans="1:6" ht="14.25" customHeight="1" thickBot="1" x14ac:dyDescent="0.3">
      <c r="A787" s="40"/>
      <c r="B787" s="24" t="s">
        <v>37</v>
      </c>
      <c r="C787" s="25">
        <v>45866</v>
      </c>
      <c r="D787" s="40"/>
      <c r="E787" s="26" t="s">
        <v>38</v>
      </c>
      <c r="F787" s="27" t="s">
        <v>36</v>
      </c>
    </row>
    <row r="788" spans="1:6" ht="14.25" customHeight="1" thickBot="1" x14ac:dyDescent="0.3">
      <c r="A788" s="40"/>
      <c r="B788" s="24" t="s">
        <v>34</v>
      </c>
      <c r="C788" s="28">
        <f>IF(C787="","",IF(AND(MONTH(C787)&gt;=1,MONTH(C787)&lt;=3),1,IF(AND(MONTH(C787)&gt;=4,MONTH(C787)&lt;=6),2,IF(AND(MONTH(C787)&gt;=7,MONTH(C787)&lt;=9),3,4))))</f>
        <v>3</v>
      </c>
      <c r="D788" s="40"/>
      <c r="E788" s="26" t="s">
        <v>39</v>
      </c>
      <c r="F788" s="27"/>
    </row>
    <row r="790" spans="1:6" ht="14.25" customHeight="1" thickBot="1" x14ac:dyDescent="0.3">
      <c r="A790" s="29" t="s">
        <v>40</v>
      </c>
      <c r="B790" s="29" t="s">
        <v>41</v>
      </c>
      <c r="C790" s="29" t="s">
        <v>42</v>
      </c>
      <c r="D790" s="29" t="s">
        <v>43</v>
      </c>
      <c r="E790" s="29" t="s">
        <v>44</v>
      </c>
      <c r="F790" s="29" t="s">
        <v>45</v>
      </c>
    </row>
    <row r="791" spans="1:6" ht="14.25" customHeight="1" x14ac:dyDescent="0.25">
      <c r="A791" s="30" t="s">
        <v>122</v>
      </c>
      <c r="B791" s="31" t="str">
        <f ca="1">IFERROR(INDEX(UNSPSCDes,MATCH(INDIRECT(ADDRESS(ROW(),COLUMN()-1,4)),UNSPSCCode,0)),IF(INDIRECT(ADDRESS(ROW(),COLUMN()-1,4))="25172504","Neumáticos para automoviles o camiones ligeros",""))</f>
        <v>Neumáticos para automoviles o camiones ligeros</v>
      </c>
      <c r="C791" s="32" t="str">
        <f>IFERROR(VLOOKUP("UD",'[1]Informacion '!P:Q,2,FALSE),"")</f>
        <v>Unidad</v>
      </c>
      <c r="D791" s="30">
        <v>20</v>
      </c>
      <c r="E791" s="33">
        <v>12000</v>
      </c>
      <c r="F791" s="34">
        <f ca="1">INDIRECT(ADDRESS(ROW(),COLUMN()-2,4))*INDIRECT(ADDRESS(ROW(),COLUMN()-1,4))</f>
        <v>240000</v>
      </c>
    </row>
    <row r="792" spans="1:6" ht="14.25" customHeight="1" x14ac:dyDescent="0.25">
      <c r="A792" s="30" t="s">
        <v>123</v>
      </c>
      <c r="B792" s="31" t="str">
        <f ca="1">IFERROR(INDEX(UNSPSCDes,MATCH(INDIRECT(ADDRESS(ROW(),COLUMN()-1,4)),UNSPSCCode,0)),IF(INDIRECT(ADDRESS(ROW(),COLUMN()-1,4))="25172512","Neumático para motocicleta
",""))</f>
        <v xml:space="preserve">Neumático para motocicleta
</v>
      </c>
      <c r="C792" s="32" t="str">
        <f>IFERROR(VLOOKUP("UD",'[1]Informacion '!P:Q,2,FALSE),"")</f>
        <v>Unidad</v>
      </c>
      <c r="D792" s="30">
        <v>6</v>
      </c>
      <c r="E792" s="33">
        <v>8000</v>
      </c>
      <c r="F792" s="34">
        <f ca="1">INDIRECT(ADDRESS(ROW(),COLUMN()-2,4))*INDIRECT(ADDRESS(ROW(),COLUMN()-1,4))</f>
        <v>48000</v>
      </c>
    </row>
    <row r="793" spans="1:6" ht="14.25" customHeight="1" x14ac:dyDescent="0.25">
      <c r="E793" s="35" t="s">
        <v>47</v>
      </c>
      <c r="F793" s="36">
        <f ca="1">SUM(Table54[MONTO TOTAL ESTIMADO])</f>
        <v>288000</v>
      </c>
    </row>
    <row r="795" spans="1:6" ht="33.950000000000003" customHeight="1" thickBot="1" x14ac:dyDescent="0.3">
      <c r="A795" s="21" t="s">
        <v>19</v>
      </c>
      <c r="B795" s="21" t="s">
        <v>20</v>
      </c>
      <c r="C795" s="21" t="s">
        <v>21</v>
      </c>
      <c r="D795" s="21" t="s">
        <v>22</v>
      </c>
      <c r="E795" s="21" t="s">
        <v>23</v>
      </c>
      <c r="F795" s="21" t="s">
        <v>24</v>
      </c>
    </row>
    <row r="796" spans="1:6" ht="14.25" customHeight="1" thickBot="1" x14ac:dyDescent="0.3">
      <c r="A796" s="23" t="s">
        <v>242</v>
      </c>
      <c r="B796" s="23" t="s">
        <v>242</v>
      </c>
      <c r="C796" s="23" t="s">
        <v>55</v>
      </c>
      <c r="D796" s="23" t="s">
        <v>62</v>
      </c>
      <c r="E796" s="23" t="s">
        <v>49</v>
      </c>
      <c r="F796" s="23"/>
    </row>
    <row r="797" spans="1:6" ht="14.25" customHeight="1" thickBot="1" x14ac:dyDescent="0.3">
      <c r="A797" s="39" t="s">
        <v>29</v>
      </c>
      <c r="B797" s="24" t="s">
        <v>30</v>
      </c>
      <c r="C797" s="25">
        <v>45964</v>
      </c>
      <c r="D797" s="39" t="s">
        <v>31</v>
      </c>
      <c r="E797" s="26" t="s">
        <v>32</v>
      </c>
      <c r="F797" s="27" t="s">
        <v>33</v>
      </c>
    </row>
    <row r="798" spans="1:6" ht="14.25" customHeight="1" thickBot="1" x14ac:dyDescent="0.3">
      <c r="A798" s="40"/>
      <c r="B798" s="24" t="s">
        <v>34</v>
      </c>
      <c r="C798" s="28">
        <f>IF(C797="","",IF(AND(MONTH(C797)&gt;=1,MONTH(C797)&lt;=3),1,IF(AND(MONTH(C797)&gt;=4,MONTH(C797)&lt;=6),2,IF(AND(MONTH(C797)&gt;=7,MONTH(C797)&lt;=9),3,4))))</f>
        <v>4</v>
      </c>
      <c r="D798" s="40"/>
      <c r="E798" s="26" t="s">
        <v>35</v>
      </c>
      <c r="F798" s="27" t="s">
        <v>36</v>
      </c>
    </row>
    <row r="799" spans="1:6" ht="14.25" customHeight="1" thickBot="1" x14ac:dyDescent="0.3">
      <c r="A799" s="40"/>
      <c r="B799" s="24" t="s">
        <v>37</v>
      </c>
      <c r="C799" s="25">
        <v>45978</v>
      </c>
      <c r="D799" s="40"/>
      <c r="E799" s="26" t="s">
        <v>38</v>
      </c>
      <c r="F799" s="27" t="s">
        <v>36</v>
      </c>
    </row>
    <row r="800" spans="1:6" ht="14.25" customHeight="1" thickBot="1" x14ac:dyDescent="0.3">
      <c r="A800" s="40"/>
      <c r="B800" s="24" t="s">
        <v>34</v>
      </c>
      <c r="C800" s="28">
        <f>IF(C799="","",IF(AND(MONTH(C799)&gt;=1,MONTH(C799)&lt;=3),1,IF(AND(MONTH(C799)&gt;=4,MONTH(C799)&lt;=6),2,IF(AND(MONTH(C799)&gt;=7,MONTH(C799)&lt;=9),3,4))))</f>
        <v>4</v>
      </c>
      <c r="D800" s="40"/>
      <c r="E800" s="26" t="s">
        <v>39</v>
      </c>
      <c r="F800" s="27"/>
    </row>
    <row r="802" spans="1:6" ht="14.25" customHeight="1" thickBot="1" x14ac:dyDescent="0.3">
      <c r="A802" s="29" t="s">
        <v>40</v>
      </c>
      <c r="B802" s="29" t="s">
        <v>41</v>
      </c>
      <c r="C802" s="29" t="s">
        <v>42</v>
      </c>
      <c r="D802" s="29" t="s">
        <v>43</v>
      </c>
      <c r="E802" s="29" t="s">
        <v>44</v>
      </c>
      <c r="F802" s="29" t="s">
        <v>45</v>
      </c>
    </row>
    <row r="803" spans="1:6" ht="14.25" customHeight="1" x14ac:dyDescent="0.25">
      <c r="A803" s="30" t="s">
        <v>243</v>
      </c>
      <c r="B803" s="31" t="str">
        <f ca="1">IFERROR(INDEX(UNSPSCDes,MATCH(INDIRECT(ADDRESS(ROW(),COLUMN()-1,4)),UNSPSCCode,0)),IF(INDIRECT(ADDRESS(ROW(),COLUMN()-1,4))="52141502","Hornos microondas para uso doméstico",""))</f>
        <v>Hornos microondas para uso doméstico</v>
      </c>
      <c r="C803" s="32" t="str">
        <f>IFERROR(VLOOKUP("UD",'[1]Informacion '!P:Q,2,FALSE),"")</f>
        <v>Unidad</v>
      </c>
      <c r="D803" s="30">
        <v>3</v>
      </c>
      <c r="E803" s="33">
        <v>11000</v>
      </c>
      <c r="F803" s="34">
        <f t="shared" ref="F803:F808" ca="1" si="13">INDIRECT(ADDRESS(ROW(),COLUMN()-2,4))*INDIRECT(ADDRESS(ROW(),COLUMN()-1,4))</f>
        <v>33000</v>
      </c>
    </row>
    <row r="804" spans="1:6" ht="14.25" customHeight="1" x14ac:dyDescent="0.25">
      <c r="A804" s="30" t="s">
        <v>244</v>
      </c>
      <c r="B804" s="31" t="str">
        <f ca="1">IFERROR(INDEX(UNSPSCDes,MATCH(INDIRECT(ADDRESS(ROW(),COLUMN()-1,4)),UNSPSCCode,0)),IF(INDIRECT(ADDRESS(ROW(),COLUMN()-1,4))="52141506","Congeladores para uso doméstico",""))</f>
        <v>Congeladores para uso doméstico</v>
      </c>
      <c r="C804" s="32" t="str">
        <f>IFERROR(VLOOKUP("UD",'[1]Informacion '!P:Q,2,FALSE),"")</f>
        <v>Unidad</v>
      </c>
      <c r="D804" s="30">
        <v>3</v>
      </c>
      <c r="E804" s="33">
        <v>8500</v>
      </c>
      <c r="F804" s="34">
        <f t="shared" ca="1" si="13"/>
        <v>25500</v>
      </c>
    </row>
    <row r="805" spans="1:6" ht="14.25" customHeight="1" x14ac:dyDescent="0.25">
      <c r="A805" s="30" t="s">
        <v>245</v>
      </c>
      <c r="B805" s="31" t="str">
        <f ca="1">IFERROR(INDEX(UNSPSCDes,MATCH(INDIRECT(ADDRESS(ROW(),COLUMN()-1,4)),UNSPSCCode,0)),IF(INDIRECT(ADDRESS(ROW(),COLUMN()-1,4))="52141525","Hornillas para uso doméstico",""))</f>
        <v>Hornillas para uso doméstico</v>
      </c>
      <c r="C805" s="32" t="str">
        <f>IFERROR(VLOOKUP("UD",'[1]Informacion '!P:Q,2,FALSE),"")</f>
        <v>Unidad</v>
      </c>
      <c r="D805" s="30">
        <v>3</v>
      </c>
      <c r="E805" s="33">
        <v>3500</v>
      </c>
      <c r="F805" s="34">
        <f t="shared" ca="1" si="13"/>
        <v>10500</v>
      </c>
    </row>
    <row r="806" spans="1:6" ht="14.25" customHeight="1" x14ac:dyDescent="0.25">
      <c r="A806" s="30" t="s">
        <v>246</v>
      </c>
      <c r="B806" s="31" t="str">
        <f ca="1">IFERROR(INDEX(UNSPSCDes,MATCH(INDIRECT(ADDRESS(ROW(),COLUMN()-1,4)),UNSPSCCode,0)),IF(INDIRECT(ADDRESS(ROW(),COLUMN()-1,4))="40101701","Aires acondicionados",""))</f>
        <v>Aires acondicionados</v>
      </c>
      <c r="C806" s="32" t="str">
        <f>IFERROR(VLOOKUP("UD",'[1]Informacion '!P:Q,2,FALSE),"")</f>
        <v>Unidad</v>
      </c>
      <c r="D806" s="30">
        <v>1</v>
      </c>
      <c r="E806" s="33">
        <v>45000</v>
      </c>
      <c r="F806" s="34">
        <f t="shared" ca="1" si="13"/>
        <v>45000</v>
      </c>
    </row>
    <row r="807" spans="1:6" ht="14.25" customHeight="1" x14ac:dyDescent="0.25">
      <c r="A807" s="30" t="s">
        <v>247</v>
      </c>
      <c r="B807" s="31" t="str">
        <f ca="1">IFERROR(INDEX(UNSPSCDes,MATCH(INDIRECT(ADDRESS(ROW(),COLUMN()-1,4)),UNSPSCCode,0)),IF(INDIRECT(ADDRESS(ROW(),COLUMN()-1,4))="52161505","Televisores",""))</f>
        <v>Televisores</v>
      </c>
      <c r="C807" s="32" t="str">
        <f>IFERROR(VLOOKUP("UD",'[1]Informacion '!P:Q,2,FALSE),"")</f>
        <v>Unidad</v>
      </c>
      <c r="D807" s="30">
        <v>1</v>
      </c>
      <c r="E807" s="33">
        <v>35000</v>
      </c>
      <c r="F807" s="34">
        <f t="shared" ca="1" si="13"/>
        <v>35000</v>
      </c>
    </row>
    <row r="808" spans="1:6" ht="14.25" customHeight="1" x14ac:dyDescent="0.25">
      <c r="A808" s="30" t="s">
        <v>248</v>
      </c>
      <c r="B808" s="31" t="str">
        <f ca="1">IFERROR(INDEX(UNSPSCDes,MATCH(INDIRECT(ADDRESS(ROW(),COLUMN()-1,4)),UNSPSCCode,0)),IF(INDIRECT(ADDRESS(ROW(),COLUMN()-1,4))="52141509","Combinación de neveras y congeladores para uso doméstico",""))</f>
        <v>Combinación de neveras y congeladores para uso doméstico</v>
      </c>
      <c r="C808" s="32" t="str">
        <f>IFERROR(VLOOKUP("UD",'[1]Informacion '!P:Q,2,FALSE),"")</f>
        <v>Unidad</v>
      </c>
      <c r="D808" s="30">
        <v>1</v>
      </c>
      <c r="E808" s="33">
        <v>47000</v>
      </c>
      <c r="F808" s="34">
        <f t="shared" ca="1" si="13"/>
        <v>47000</v>
      </c>
    </row>
    <row r="809" spans="1:6" ht="14.25" customHeight="1" x14ac:dyDescent="0.25">
      <c r="E809" s="35" t="s">
        <v>47</v>
      </c>
      <c r="F809" s="36">
        <f ca="1">SUM(Table55[MONTO TOTAL ESTIMADO])</f>
        <v>196000</v>
      </c>
    </row>
    <row r="811" spans="1:6" ht="33.950000000000003" customHeight="1" thickBot="1" x14ac:dyDescent="0.3">
      <c r="A811" s="21" t="s">
        <v>19</v>
      </c>
      <c r="B811" s="21" t="s">
        <v>20</v>
      </c>
      <c r="C811" s="21" t="s">
        <v>21</v>
      </c>
      <c r="D811" s="21" t="s">
        <v>22</v>
      </c>
      <c r="E811" s="21" t="s">
        <v>23</v>
      </c>
      <c r="F811" s="21" t="s">
        <v>24</v>
      </c>
    </row>
    <row r="812" spans="1:6" ht="14.25" customHeight="1" thickBot="1" x14ac:dyDescent="0.3">
      <c r="A812" s="23" t="s">
        <v>249</v>
      </c>
      <c r="B812" s="23" t="s">
        <v>249</v>
      </c>
      <c r="C812" s="23" t="s">
        <v>26</v>
      </c>
      <c r="D812" s="23" t="s">
        <v>27</v>
      </c>
      <c r="E812" s="23" t="s">
        <v>49</v>
      </c>
      <c r="F812" s="23"/>
    </row>
    <row r="813" spans="1:6" ht="14.25" customHeight="1" thickBot="1" x14ac:dyDescent="0.3">
      <c r="A813" s="39" t="s">
        <v>29</v>
      </c>
      <c r="B813" s="24" t="s">
        <v>30</v>
      </c>
      <c r="C813" s="25">
        <v>45971</v>
      </c>
      <c r="D813" s="39" t="s">
        <v>31</v>
      </c>
      <c r="E813" s="26" t="s">
        <v>32</v>
      </c>
      <c r="F813" s="27" t="s">
        <v>33</v>
      </c>
    </row>
    <row r="814" spans="1:6" ht="14.25" customHeight="1" thickBot="1" x14ac:dyDescent="0.3">
      <c r="A814" s="40"/>
      <c r="B814" s="24" t="s">
        <v>34</v>
      </c>
      <c r="C814" s="28">
        <f>IF(C813="","",IF(AND(MONTH(C813)&gt;=1,MONTH(C813)&lt;=3),1,IF(AND(MONTH(C813)&gt;=4,MONTH(C813)&lt;=6),2,IF(AND(MONTH(C813)&gt;=7,MONTH(C813)&lt;=9),3,4))))</f>
        <v>4</v>
      </c>
      <c r="D814" s="40"/>
      <c r="E814" s="26" t="s">
        <v>35</v>
      </c>
      <c r="F814" s="27" t="s">
        <v>36</v>
      </c>
    </row>
    <row r="815" spans="1:6" ht="14.25" customHeight="1" thickBot="1" x14ac:dyDescent="0.3">
      <c r="A815" s="40"/>
      <c r="B815" s="24" t="s">
        <v>37</v>
      </c>
      <c r="C815" s="25">
        <v>45978</v>
      </c>
      <c r="D815" s="40"/>
      <c r="E815" s="26" t="s">
        <v>38</v>
      </c>
      <c r="F815" s="27" t="s">
        <v>36</v>
      </c>
    </row>
    <row r="816" spans="1:6" ht="14.25" customHeight="1" thickBot="1" x14ac:dyDescent="0.3">
      <c r="A816" s="40"/>
      <c r="B816" s="24" t="s">
        <v>34</v>
      </c>
      <c r="C816" s="28">
        <f>IF(C815="","",IF(AND(MONTH(C815)&gt;=1,MONTH(C815)&lt;=3),1,IF(AND(MONTH(C815)&gt;=4,MONTH(C815)&lt;=6),2,IF(AND(MONTH(C815)&gt;=7,MONTH(C815)&lt;=9),3,4))))</f>
        <v>4</v>
      </c>
      <c r="D816" s="40"/>
      <c r="E816" s="26" t="s">
        <v>39</v>
      </c>
      <c r="F816" s="27"/>
    </row>
    <row r="818" spans="1:6" ht="14.25" customHeight="1" thickBot="1" x14ac:dyDescent="0.3">
      <c r="A818" s="29" t="s">
        <v>40</v>
      </c>
      <c r="B818" s="29" t="s">
        <v>41</v>
      </c>
      <c r="C818" s="29" t="s">
        <v>42</v>
      </c>
      <c r="D818" s="29" t="s">
        <v>43</v>
      </c>
      <c r="E818" s="29" t="s">
        <v>44</v>
      </c>
      <c r="F818" s="29" t="s">
        <v>45</v>
      </c>
    </row>
    <row r="819" spans="1:6" ht="14.25" customHeight="1" x14ac:dyDescent="0.25">
      <c r="A819" s="30" t="s">
        <v>250</v>
      </c>
      <c r="B819" s="31" t="str">
        <f ca="1">IFERROR(INDEX(UNSPSCDes,MATCH(INDIRECT(ADDRESS(ROW(),COLUMN()-1,4)),UNSPSCCode,0)),IF(INDIRECT(ADDRESS(ROW(),COLUMN()-1,4))="73152002","Servicios de llenado con aerosol",""))</f>
        <v>Servicios de llenado con aerosol</v>
      </c>
      <c r="C819" s="32" t="str">
        <f>IFERROR(VLOOKUP("UD",'[1]Informacion '!P:Q,2,FALSE),"")</f>
        <v>Unidad</v>
      </c>
      <c r="D819" s="30">
        <v>1</v>
      </c>
      <c r="E819" s="33">
        <v>46052</v>
      </c>
      <c r="F819" s="34">
        <f ca="1">INDIRECT(ADDRESS(ROW(),COLUMN()-2,4))*INDIRECT(ADDRESS(ROW(),COLUMN()-1,4))</f>
        <v>46052</v>
      </c>
    </row>
    <row r="820" spans="1:6" ht="14.25" customHeight="1" x14ac:dyDescent="0.25">
      <c r="E820" s="35" t="s">
        <v>47</v>
      </c>
      <c r="F820" s="36">
        <f ca="1">SUM(Table56[MONTO TOTAL ESTIMADO])</f>
        <v>46052</v>
      </c>
    </row>
    <row r="822" spans="1:6" ht="33.950000000000003" customHeight="1" thickBot="1" x14ac:dyDescent="0.3">
      <c r="A822" s="21" t="s">
        <v>19</v>
      </c>
      <c r="B822" s="21" t="s">
        <v>20</v>
      </c>
      <c r="C822" s="21" t="s">
        <v>21</v>
      </c>
      <c r="D822" s="21" t="s">
        <v>22</v>
      </c>
      <c r="E822" s="21" t="s">
        <v>23</v>
      </c>
      <c r="F822" s="21" t="s">
        <v>24</v>
      </c>
    </row>
    <row r="823" spans="1:6" ht="14.25" customHeight="1" thickBot="1" x14ac:dyDescent="0.3">
      <c r="A823" s="23" t="s">
        <v>251</v>
      </c>
      <c r="B823" s="23" t="s">
        <v>251</v>
      </c>
      <c r="C823" s="23" t="s">
        <v>55</v>
      </c>
      <c r="D823" s="23" t="s">
        <v>27</v>
      </c>
      <c r="E823" s="23" t="s">
        <v>52</v>
      </c>
      <c r="F823" s="23"/>
    </row>
    <row r="824" spans="1:6" ht="14.25" customHeight="1" thickBot="1" x14ac:dyDescent="0.3">
      <c r="A824" s="39" t="s">
        <v>29</v>
      </c>
      <c r="B824" s="24" t="s">
        <v>30</v>
      </c>
      <c r="C824" s="25">
        <v>45768</v>
      </c>
      <c r="D824" s="39" t="s">
        <v>31</v>
      </c>
      <c r="E824" s="26" t="s">
        <v>32</v>
      </c>
      <c r="F824" s="27" t="s">
        <v>33</v>
      </c>
    </row>
    <row r="825" spans="1:6" ht="14.25" customHeight="1" thickBot="1" x14ac:dyDescent="0.3">
      <c r="A825" s="40"/>
      <c r="B825" s="24" t="s">
        <v>34</v>
      </c>
      <c r="C825" s="28">
        <f>IF(C824="","",IF(AND(MONTH(C824)&gt;=1,MONTH(C824)&lt;=3),1,IF(AND(MONTH(C824)&gt;=4,MONTH(C824)&lt;=6),2,IF(AND(MONTH(C824)&gt;=7,MONTH(C824)&lt;=9),3,4))))</f>
        <v>2</v>
      </c>
      <c r="D825" s="40"/>
      <c r="E825" s="26" t="s">
        <v>35</v>
      </c>
      <c r="F825" s="27" t="s">
        <v>36</v>
      </c>
    </row>
    <row r="826" spans="1:6" ht="14.25" customHeight="1" thickBot="1" x14ac:dyDescent="0.3">
      <c r="A826" s="40"/>
      <c r="B826" s="24" t="s">
        <v>37</v>
      </c>
      <c r="C826" s="25">
        <v>45775</v>
      </c>
      <c r="D826" s="40"/>
      <c r="E826" s="26" t="s">
        <v>38</v>
      </c>
      <c r="F826" s="27" t="s">
        <v>36</v>
      </c>
    </row>
    <row r="827" spans="1:6" ht="14.25" customHeight="1" thickBot="1" x14ac:dyDescent="0.3">
      <c r="A827" s="40"/>
      <c r="B827" s="24" t="s">
        <v>34</v>
      </c>
      <c r="C827" s="28">
        <f>IF(C826="","",IF(AND(MONTH(C826)&gt;=1,MONTH(C826)&lt;=3),1,IF(AND(MONTH(C826)&gt;=4,MONTH(C826)&lt;=6),2,IF(AND(MONTH(C826)&gt;=7,MONTH(C826)&lt;=9),3,4))))</f>
        <v>2</v>
      </c>
      <c r="D827" s="40"/>
      <c r="E827" s="26" t="s">
        <v>39</v>
      </c>
      <c r="F827" s="27"/>
    </row>
    <row r="829" spans="1:6" ht="14.25" customHeight="1" thickBot="1" x14ac:dyDescent="0.3">
      <c r="A829" s="29" t="s">
        <v>40</v>
      </c>
      <c r="B829" s="29" t="s">
        <v>41</v>
      </c>
      <c r="C829" s="29" t="s">
        <v>42</v>
      </c>
      <c r="D829" s="29" t="s">
        <v>43</v>
      </c>
      <c r="E829" s="29" t="s">
        <v>44</v>
      </c>
      <c r="F829" s="29" t="s">
        <v>45</v>
      </c>
    </row>
    <row r="830" spans="1:6" ht="14.25" customHeight="1" x14ac:dyDescent="0.25">
      <c r="A830" s="30" t="s">
        <v>252</v>
      </c>
      <c r="B830" s="31" t="str">
        <f ca="1">IFERROR(INDEX(UNSPSCDes,MATCH(INDIRECT(ADDRESS(ROW(),COLUMN()-1,4)),UNSPSCCode,0)),IF(INDIRECT(ADDRESS(ROW(),COLUMN()-1,4))="43191606","Auriculares de teléfonos",""))</f>
        <v>Auriculares de teléfonos</v>
      </c>
      <c r="C830" s="32" t="str">
        <f>IFERROR(VLOOKUP("UD",'[1]Informacion '!P:Q,2,FALSE),"")</f>
        <v>Unidad</v>
      </c>
      <c r="D830" s="30">
        <v>20</v>
      </c>
      <c r="E830" s="33">
        <v>1700</v>
      </c>
      <c r="F830" s="34">
        <f ca="1">INDIRECT(ADDRESS(ROW(),COLUMN()-2,4))*INDIRECT(ADDRESS(ROW(),COLUMN()-1,4))</f>
        <v>34000</v>
      </c>
    </row>
    <row r="831" spans="1:6" ht="14.25" customHeight="1" x14ac:dyDescent="0.25">
      <c r="E831" s="35" t="s">
        <v>47</v>
      </c>
      <c r="F831" s="36">
        <f ca="1">SUM(Table57[MONTO TOTAL ESTIMADO])</f>
        <v>34000</v>
      </c>
    </row>
    <row r="833" spans="1:6" ht="33.950000000000003" customHeight="1" thickBot="1" x14ac:dyDescent="0.3">
      <c r="A833" s="21" t="s">
        <v>19</v>
      </c>
      <c r="B833" s="21" t="s">
        <v>20</v>
      </c>
      <c r="C833" s="21" t="s">
        <v>21</v>
      </c>
      <c r="D833" s="21" t="s">
        <v>22</v>
      </c>
      <c r="E833" s="21" t="s">
        <v>23</v>
      </c>
      <c r="F833" s="21" t="s">
        <v>24</v>
      </c>
    </row>
    <row r="834" spans="1:6" ht="14.25" customHeight="1" thickBot="1" x14ac:dyDescent="0.3">
      <c r="A834" s="23" t="s">
        <v>253</v>
      </c>
      <c r="B834" s="23" t="s">
        <v>253</v>
      </c>
      <c r="C834" s="23" t="s">
        <v>55</v>
      </c>
      <c r="D834" s="23" t="s">
        <v>27</v>
      </c>
      <c r="E834" s="23" t="s">
        <v>52</v>
      </c>
      <c r="F834" s="23"/>
    </row>
    <row r="835" spans="1:6" ht="14.25" customHeight="1" thickBot="1" x14ac:dyDescent="0.3">
      <c r="A835" s="39" t="s">
        <v>29</v>
      </c>
      <c r="B835" s="24" t="s">
        <v>30</v>
      </c>
      <c r="C835" s="25">
        <v>45761</v>
      </c>
      <c r="D835" s="39" t="s">
        <v>31</v>
      </c>
      <c r="E835" s="26" t="s">
        <v>32</v>
      </c>
      <c r="F835" s="27" t="s">
        <v>33</v>
      </c>
    </row>
    <row r="836" spans="1:6" ht="14.25" customHeight="1" thickBot="1" x14ac:dyDescent="0.3">
      <c r="A836" s="40"/>
      <c r="B836" s="24" t="s">
        <v>34</v>
      </c>
      <c r="C836" s="28">
        <f>IF(C835="","",IF(AND(MONTH(C835)&gt;=1,MONTH(C835)&lt;=3),1,IF(AND(MONTH(C835)&gt;=4,MONTH(C835)&lt;=6),2,IF(AND(MONTH(C835)&gt;=7,MONTH(C835)&lt;=9),3,4))))</f>
        <v>2</v>
      </c>
      <c r="D836" s="40"/>
      <c r="E836" s="26" t="s">
        <v>35</v>
      </c>
      <c r="F836" s="27" t="s">
        <v>36</v>
      </c>
    </row>
    <row r="837" spans="1:6" ht="14.25" customHeight="1" thickBot="1" x14ac:dyDescent="0.3">
      <c r="A837" s="40"/>
      <c r="B837" s="24" t="s">
        <v>37</v>
      </c>
      <c r="C837" s="25">
        <v>45768</v>
      </c>
      <c r="D837" s="40"/>
      <c r="E837" s="26" t="s">
        <v>38</v>
      </c>
      <c r="F837" s="27" t="s">
        <v>36</v>
      </c>
    </row>
    <row r="838" spans="1:6" ht="14.25" customHeight="1" thickBot="1" x14ac:dyDescent="0.3">
      <c r="A838" s="40"/>
      <c r="B838" s="24" t="s">
        <v>34</v>
      </c>
      <c r="C838" s="28">
        <f>IF(C837="","",IF(AND(MONTH(C837)&gt;=1,MONTH(C837)&lt;=3),1,IF(AND(MONTH(C837)&gt;=4,MONTH(C837)&lt;=6),2,IF(AND(MONTH(C837)&gt;=7,MONTH(C837)&lt;=9),3,4))))</f>
        <v>2</v>
      </c>
      <c r="D838" s="40"/>
      <c r="E838" s="26" t="s">
        <v>39</v>
      </c>
      <c r="F838" s="27"/>
    </row>
    <row r="840" spans="1:6" ht="14.25" customHeight="1" thickBot="1" x14ac:dyDescent="0.3">
      <c r="A840" s="29" t="s">
        <v>40</v>
      </c>
      <c r="B840" s="29" t="s">
        <v>41</v>
      </c>
      <c r="C840" s="29" t="s">
        <v>42</v>
      </c>
      <c r="D840" s="29" t="s">
        <v>43</v>
      </c>
      <c r="E840" s="29" t="s">
        <v>44</v>
      </c>
      <c r="F840" s="29" t="s">
        <v>45</v>
      </c>
    </row>
    <row r="841" spans="1:6" ht="14.25" customHeight="1" x14ac:dyDescent="0.25">
      <c r="A841" s="30" t="s">
        <v>254</v>
      </c>
      <c r="B841" s="31" t="str">
        <f ca="1">IFERROR(INDEX(UNSPSCDes,MATCH(INDIRECT(ADDRESS(ROW(),COLUMN()-1,4)),UNSPSCCode,0)),IF(INDIRECT(ADDRESS(ROW(),COLUMN()-1,4))="52152006","Bandejas o fuentes para uso doméstico",""))</f>
        <v>Bandejas o fuentes para uso doméstico</v>
      </c>
      <c r="C841" s="32" t="str">
        <f>IFERROR(VLOOKUP("UD",'[1]Informacion '!P:Q,2,FALSE),"")</f>
        <v>Unidad</v>
      </c>
      <c r="D841" s="30">
        <v>1</v>
      </c>
      <c r="E841" s="33">
        <v>2000</v>
      </c>
      <c r="F841" s="34">
        <f t="shared" ref="F841:F854" ca="1" si="14">INDIRECT(ADDRESS(ROW(),COLUMN()-2,4))*INDIRECT(ADDRESS(ROW(),COLUMN()-1,4))</f>
        <v>2000</v>
      </c>
    </row>
    <row r="842" spans="1:6" ht="14.25" customHeight="1" x14ac:dyDescent="0.25">
      <c r="A842" s="30" t="s">
        <v>255</v>
      </c>
      <c r="B842" s="31" t="str">
        <f ca="1">IFERROR(INDEX(UNSPSCDes,MATCH(INDIRECT(ADDRESS(ROW(),COLUMN()-1,4)),UNSPSCCode,0)),IF(INDIRECT(ADDRESS(ROW(),COLUMN()-1,4))="52151703","Tenedores para uso doméstico",""))</f>
        <v>Tenedores para uso doméstico</v>
      </c>
      <c r="C842" s="32" t="str">
        <f>IFERROR(VLOOKUP("UD",'[1]Informacion '!P:Q,2,FALSE),"")</f>
        <v>Unidad</v>
      </c>
      <c r="D842" s="30">
        <v>30</v>
      </c>
      <c r="E842" s="33">
        <v>82</v>
      </c>
      <c r="F842" s="34">
        <f t="shared" ca="1" si="14"/>
        <v>2460</v>
      </c>
    </row>
    <row r="843" spans="1:6" ht="14.25" customHeight="1" x14ac:dyDescent="0.25">
      <c r="A843" s="30" t="s">
        <v>256</v>
      </c>
      <c r="B843" s="31" t="str">
        <f ca="1">IFERROR(INDEX(UNSPSCDes,MATCH(INDIRECT(ADDRESS(ROW(),COLUMN()-1,4)),UNSPSCCode,0)),IF(INDIRECT(ADDRESS(ROW(),COLUMN()-1,4))="52151704","Cucharas para uso doméstico",""))</f>
        <v>Cucharas para uso doméstico</v>
      </c>
      <c r="C843" s="32" t="str">
        <f>IFERROR(VLOOKUP("UD",'[1]Informacion '!P:Q,2,FALSE),"")</f>
        <v>Unidad</v>
      </c>
      <c r="D843" s="30">
        <v>30</v>
      </c>
      <c r="E843" s="33">
        <v>82</v>
      </c>
      <c r="F843" s="34">
        <f t="shared" ca="1" si="14"/>
        <v>2460</v>
      </c>
    </row>
    <row r="844" spans="1:6" ht="14.25" customHeight="1" x14ac:dyDescent="0.25">
      <c r="A844" s="30" t="s">
        <v>257</v>
      </c>
      <c r="B844" s="31" t="str">
        <f ca="1">IFERROR(INDEX(UNSPSCDes,MATCH(INDIRECT(ADDRESS(ROW(),COLUMN()-1,4)),UNSPSCCode,0)),IF(INDIRECT(ADDRESS(ROW(),COLUMN()-1,4))="52152004","Platos para uso doméstico",""))</f>
        <v>Platos para uso doméstico</v>
      </c>
      <c r="C844" s="32" t="str">
        <f>IFERROR(VLOOKUP("UD",'[1]Informacion '!P:Q,2,FALSE),"")</f>
        <v>Unidad</v>
      </c>
      <c r="D844" s="30">
        <v>30</v>
      </c>
      <c r="E844" s="33">
        <v>100</v>
      </c>
      <c r="F844" s="34">
        <f t="shared" ca="1" si="14"/>
        <v>3000</v>
      </c>
    </row>
    <row r="845" spans="1:6" ht="14.25" customHeight="1" x14ac:dyDescent="0.25">
      <c r="A845" s="30" t="s">
        <v>257</v>
      </c>
      <c r="B845" s="31" t="str">
        <f ca="1">IFERROR(INDEX(UNSPSCDes,MATCH(INDIRECT(ADDRESS(ROW(),COLUMN()-1,4)),UNSPSCCode,0)),IF(INDIRECT(ADDRESS(ROW(),COLUMN()-1,4))="52152004","Platos para uso doméstico",""))</f>
        <v>Platos para uso doméstico</v>
      </c>
      <c r="C845" s="32" t="str">
        <f>IFERROR(VLOOKUP("UD",'[1]Informacion '!P:Q,2,FALSE),"")</f>
        <v>Unidad</v>
      </c>
      <c r="D845" s="30">
        <v>8</v>
      </c>
      <c r="E845" s="33">
        <v>200</v>
      </c>
      <c r="F845" s="34">
        <f t="shared" ca="1" si="14"/>
        <v>1600</v>
      </c>
    </row>
    <row r="846" spans="1:6" ht="14.25" customHeight="1" x14ac:dyDescent="0.25">
      <c r="A846" s="30" t="s">
        <v>258</v>
      </c>
      <c r="B846" s="31" t="str">
        <f ca="1">IFERROR(INDEX(UNSPSCDes,MATCH(INDIRECT(ADDRESS(ROW(),COLUMN()-1,4)),UNSPSCCode,0)),IF(INDIRECT(ADDRESS(ROW(),COLUMN()-1,4))="52151616","Espátulas de cocina para uso doméstico",""))</f>
        <v>Espátulas de cocina para uso doméstico</v>
      </c>
      <c r="C846" s="32" t="str">
        <f>IFERROR(VLOOKUP("UD",'[1]Informacion '!P:Q,2,FALSE),"")</f>
        <v>Unidad</v>
      </c>
      <c r="D846" s="30">
        <v>2</v>
      </c>
      <c r="E846" s="33">
        <v>150</v>
      </c>
      <c r="F846" s="34">
        <f t="shared" ca="1" si="14"/>
        <v>300</v>
      </c>
    </row>
    <row r="847" spans="1:6" ht="14.25" customHeight="1" x14ac:dyDescent="0.25">
      <c r="A847" s="30" t="s">
        <v>258</v>
      </c>
      <c r="B847" s="31" t="str">
        <f ca="1">IFERROR(INDEX(UNSPSCDes,MATCH(INDIRECT(ADDRESS(ROW(),COLUMN()-1,4)),UNSPSCCode,0)),IF(INDIRECT(ADDRESS(ROW(),COLUMN()-1,4))="52151616","Espátulas de cocina para uso doméstico",""))</f>
        <v>Espátulas de cocina para uso doméstico</v>
      </c>
      <c r="C847" s="32" t="str">
        <f>IFERROR(VLOOKUP("UD",'[1]Informacion '!P:Q,2,FALSE),"")</f>
        <v>Unidad</v>
      </c>
      <c r="D847" s="30">
        <v>2</v>
      </c>
      <c r="E847" s="33">
        <v>200</v>
      </c>
      <c r="F847" s="34">
        <f t="shared" ca="1" si="14"/>
        <v>400</v>
      </c>
    </row>
    <row r="848" spans="1:6" ht="14.25" customHeight="1" x14ac:dyDescent="0.25">
      <c r="A848" s="30" t="s">
        <v>259</v>
      </c>
      <c r="B848" s="31" t="str">
        <f ca="1">IFERROR(INDEX(UNSPSCDes,MATCH(INDIRECT(ADDRESS(ROW(),COLUMN()-1,4)),UNSPSCCode,0)),IF(INDIRECT(ADDRESS(ROW(),COLUMN()-1,4))="52151611","Pinzas de cocina para uso doméstico",""))</f>
        <v>Pinzas de cocina para uso doméstico</v>
      </c>
      <c r="C848" s="32" t="str">
        <f>IFERROR(VLOOKUP("UD",'[1]Informacion '!P:Q,2,FALSE),"")</f>
        <v>Unidad</v>
      </c>
      <c r="D848" s="30">
        <v>2</v>
      </c>
      <c r="E848" s="33">
        <v>200.6</v>
      </c>
      <c r="F848" s="34">
        <f t="shared" ca="1" si="14"/>
        <v>401.2</v>
      </c>
    </row>
    <row r="849" spans="1:6" ht="14.25" customHeight="1" x14ac:dyDescent="0.25">
      <c r="A849" s="30" t="s">
        <v>260</v>
      </c>
      <c r="B849" s="31" t="str">
        <f ca="1">IFERROR(INDEX(UNSPSCDes,MATCH(INDIRECT(ADDRESS(ROW(),COLUMN()-1,4)),UNSPSCCode,0)),IF(INDIRECT(ADDRESS(ROW(),COLUMN()-1,4))="52151602","Tazones mezcladores para uso doméstico",""))</f>
        <v>Tazones mezcladores para uso doméstico</v>
      </c>
      <c r="C849" s="32" t="str">
        <f>IFERROR(VLOOKUP("UD",'[1]Informacion '!P:Q,2,FALSE),"")</f>
        <v>Unidad</v>
      </c>
      <c r="D849" s="30">
        <v>2</v>
      </c>
      <c r="E849" s="33">
        <v>500</v>
      </c>
      <c r="F849" s="34">
        <f t="shared" ca="1" si="14"/>
        <v>1000</v>
      </c>
    </row>
    <row r="850" spans="1:6" ht="14.25" customHeight="1" x14ac:dyDescent="0.25">
      <c r="A850" s="30" t="s">
        <v>261</v>
      </c>
      <c r="B850" s="31" t="str">
        <f ca="1">IFERROR(INDEX(UNSPSCDes,MATCH(INDIRECT(ADDRESS(ROW(),COLUMN()-1,4)),UNSPSCCode,0)),IF(INDIRECT(ADDRESS(ROW(),COLUMN()-1,4))="52152008","Teteras o cafeteras para uso doméstico",""))</f>
        <v>Teteras o cafeteras para uso doméstico</v>
      </c>
      <c r="C850" s="32" t="str">
        <f>IFERROR(VLOOKUP("UD",'[1]Informacion '!P:Q,2,FALSE),"")</f>
        <v>Unidad</v>
      </c>
      <c r="D850" s="30">
        <v>5</v>
      </c>
      <c r="E850" s="33">
        <v>1200</v>
      </c>
      <c r="F850" s="34">
        <f t="shared" ca="1" si="14"/>
        <v>6000</v>
      </c>
    </row>
    <row r="851" spans="1:6" ht="14.25" customHeight="1" x14ac:dyDescent="0.25">
      <c r="A851" s="30" t="s">
        <v>262</v>
      </c>
      <c r="B851" s="31" t="str">
        <f ca="1">IFERROR(INDEX(UNSPSCDes,MATCH(INDIRECT(ADDRESS(ROW(),COLUMN()-1,4)),UNSPSCCode,0)),IF(INDIRECT(ADDRESS(ROW(),COLUMN()-1,4))="52152010","Frascos al vacío para uso doméstico",""))</f>
        <v>Frascos al vacío para uso doméstico</v>
      </c>
      <c r="C851" s="32" t="str">
        <f>IFERROR(VLOOKUP("UD",'[1]Informacion '!P:Q,2,FALSE),"")</f>
        <v>Unidad</v>
      </c>
      <c r="D851" s="30">
        <v>5</v>
      </c>
      <c r="E851" s="33">
        <v>700</v>
      </c>
      <c r="F851" s="34">
        <f t="shared" ca="1" si="14"/>
        <v>3500</v>
      </c>
    </row>
    <row r="852" spans="1:6" ht="14.25" customHeight="1" x14ac:dyDescent="0.25">
      <c r="A852" s="30" t="s">
        <v>263</v>
      </c>
      <c r="B852" s="31" t="str">
        <f ca="1">IFERROR(INDEX(UNSPSCDes,MATCH(INDIRECT(ADDRESS(ROW(),COLUMN()-1,4)),UNSPSCCode,0)),IF(INDIRECT(ADDRESS(ROW(),COLUMN()-1,4))="52152102","Vasos para beber para uso doméstico",""))</f>
        <v>Vasos para beber para uso doméstico</v>
      </c>
      <c r="C852" s="32" t="str">
        <f>IFERROR(VLOOKUP("UD",'[1]Informacion '!P:Q,2,FALSE),"")</f>
        <v>Unidad</v>
      </c>
      <c r="D852" s="30">
        <v>25</v>
      </c>
      <c r="E852" s="33">
        <v>517</v>
      </c>
      <c r="F852" s="34">
        <f t="shared" ca="1" si="14"/>
        <v>12925</v>
      </c>
    </row>
    <row r="853" spans="1:6" ht="14.25" customHeight="1" x14ac:dyDescent="0.25">
      <c r="A853" s="30" t="s">
        <v>264</v>
      </c>
      <c r="B853" s="31" t="str">
        <f ca="1">IFERROR(INDEX(UNSPSCDes,MATCH(INDIRECT(ADDRESS(ROW(),COLUMN()-1,4)),UNSPSCCode,0)),IF(INDIRECT(ADDRESS(ROW(),COLUMN()-1,4))="52152104","Copas para uso doméstico",""))</f>
        <v>Copas para uso doméstico</v>
      </c>
      <c r="C853" s="32" t="str">
        <f>IFERROR(VLOOKUP("UD",'[1]Informacion '!P:Q,2,FALSE),"")</f>
        <v>Unidad</v>
      </c>
      <c r="D853" s="30">
        <v>25</v>
      </c>
      <c r="E853" s="33">
        <v>150</v>
      </c>
      <c r="F853" s="34">
        <f t="shared" ca="1" si="14"/>
        <v>3750</v>
      </c>
    </row>
    <row r="854" spans="1:6" ht="14.25" customHeight="1" x14ac:dyDescent="0.25">
      <c r="A854" s="30" t="s">
        <v>265</v>
      </c>
      <c r="B854" s="31" t="str">
        <f ca="1">IFERROR(INDEX(UNSPSCDes,MATCH(INDIRECT(ADDRESS(ROW(),COLUMN()-1,4)),UNSPSCCode,0)),IF(INDIRECT(ADDRESS(ROW(),COLUMN()-1,4))="52152101","Tazas de café o té para uso doméstico",""))</f>
        <v>Tazas de café o té para uso doméstico</v>
      </c>
      <c r="C854" s="32" t="str">
        <f>IFERROR(VLOOKUP("UD",'[1]Informacion '!P:Q,2,FALSE),"")</f>
        <v>Unidad</v>
      </c>
      <c r="D854" s="30">
        <v>7</v>
      </c>
      <c r="E854" s="33">
        <v>1500</v>
      </c>
      <c r="F854" s="34">
        <f t="shared" ca="1" si="14"/>
        <v>10500</v>
      </c>
    </row>
    <row r="855" spans="1:6" ht="14.25" customHeight="1" x14ac:dyDescent="0.25">
      <c r="E855" s="35" t="s">
        <v>47</v>
      </c>
      <c r="F855" s="36">
        <f ca="1">SUM(Table58[MONTO TOTAL ESTIMADO])</f>
        <v>50296.2</v>
      </c>
    </row>
    <row r="857" spans="1:6" ht="33.950000000000003" customHeight="1" thickBot="1" x14ac:dyDescent="0.3">
      <c r="A857" s="21" t="s">
        <v>19</v>
      </c>
      <c r="B857" s="21" t="s">
        <v>20</v>
      </c>
      <c r="C857" s="21" t="s">
        <v>21</v>
      </c>
      <c r="D857" s="21" t="s">
        <v>22</v>
      </c>
      <c r="E857" s="21" t="s">
        <v>23</v>
      </c>
      <c r="F857" s="21" t="s">
        <v>24</v>
      </c>
    </row>
    <row r="858" spans="1:6" ht="14.25" customHeight="1" thickBot="1" x14ac:dyDescent="0.3">
      <c r="A858" s="23" t="s">
        <v>266</v>
      </c>
      <c r="B858" s="23" t="s">
        <v>266</v>
      </c>
      <c r="C858" s="23" t="s">
        <v>55</v>
      </c>
      <c r="D858" s="23" t="s">
        <v>27</v>
      </c>
      <c r="E858" s="23" t="s">
        <v>52</v>
      </c>
      <c r="F858" s="23"/>
    </row>
    <row r="859" spans="1:6" ht="14.25" customHeight="1" thickBot="1" x14ac:dyDescent="0.3">
      <c r="A859" s="39" t="s">
        <v>29</v>
      </c>
      <c r="B859" s="24" t="s">
        <v>30</v>
      </c>
      <c r="C859" s="25">
        <v>45769</v>
      </c>
      <c r="D859" s="39" t="s">
        <v>31</v>
      </c>
      <c r="E859" s="26" t="s">
        <v>32</v>
      </c>
      <c r="F859" s="27" t="s">
        <v>33</v>
      </c>
    </row>
    <row r="860" spans="1:6" ht="14.25" customHeight="1" thickBot="1" x14ac:dyDescent="0.3">
      <c r="A860" s="40"/>
      <c r="B860" s="24" t="s">
        <v>34</v>
      </c>
      <c r="C860" s="28">
        <f>IF(C859="","",IF(AND(MONTH(C859)&gt;=1,MONTH(C859)&lt;=3),1,IF(AND(MONTH(C859)&gt;=4,MONTH(C859)&lt;=6),2,IF(AND(MONTH(C859)&gt;=7,MONTH(C859)&lt;=9),3,4))))</f>
        <v>2</v>
      </c>
      <c r="D860" s="40"/>
      <c r="E860" s="26" t="s">
        <v>35</v>
      </c>
      <c r="F860" s="27" t="s">
        <v>36</v>
      </c>
    </row>
    <row r="861" spans="1:6" ht="14.25" customHeight="1" thickBot="1" x14ac:dyDescent="0.3">
      <c r="A861" s="40"/>
      <c r="B861" s="24" t="s">
        <v>37</v>
      </c>
      <c r="C861" s="25">
        <v>45777</v>
      </c>
      <c r="D861" s="40"/>
      <c r="E861" s="26" t="s">
        <v>38</v>
      </c>
      <c r="F861" s="27" t="s">
        <v>36</v>
      </c>
    </row>
    <row r="862" spans="1:6" ht="14.25" customHeight="1" thickBot="1" x14ac:dyDescent="0.3">
      <c r="A862" s="40"/>
      <c r="B862" s="24" t="s">
        <v>34</v>
      </c>
      <c r="C862" s="28">
        <f>IF(C861="","",IF(AND(MONTH(C861)&gt;=1,MONTH(C861)&lt;=3),1,IF(AND(MONTH(C861)&gt;=4,MONTH(C861)&lt;=6),2,IF(AND(MONTH(C861)&gt;=7,MONTH(C861)&lt;=9),3,4))))</f>
        <v>2</v>
      </c>
      <c r="D862" s="40"/>
      <c r="E862" s="26" t="s">
        <v>39</v>
      </c>
      <c r="F862" s="27"/>
    </row>
    <row r="864" spans="1:6" ht="14.25" customHeight="1" thickBot="1" x14ac:dyDescent="0.3">
      <c r="A864" s="29" t="s">
        <v>40</v>
      </c>
      <c r="B864" s="29" t="s">
        <v>41</v>
      </c>
      <c r="C864" s="29" t="s">
        <v>42</v>
      </c>
      <c r="D864" s="29" t="s">
        <v>43</v>
      </c>
      <c r="E864" s="29" t="s">
        <v>44</v>
      </c>
      <c r="F864" s="29" t="s">
        <v>45</v>
      </c>
    </row>
    <row r="865" spans="1:6" ht="14.25" customHeight="1" x14ac:dyDescent="0.25">
      <c r="A865" s="30" t="s">
        <v>267</v>
      </c>
      <c r="B865" s="31" t="str">
        <f ca="1">IFERROR(INDEX(UNSPSCDes,MATCH(INDIRECT(ADDRESS(ROW(),COLUMN()-1,4)),UNSPSCCode,0)),IF(INDIRECT(ADDRESS(ROW(),COLUMN()-1,4))="44102403","Máquinas de prensa de identificación id",""))</f>
        <v>Máquinas de prensa de identificación id</v>
      </c>
      <c r="C865" s="32" t="str">
        <f>IFERROR(VLOOKUP("UD",'[1]Informacion '!P:Q,2,FALSE),"")</f>
        <v>Unidad</v>
      </c>
      <c r="D865" s="30">
        <v>1</v>
      </c>
      <c r="E865" s="33">
        <v>85000</v>
      </c>
      <c r="F865" s="34">
        <f ca="1">INDIRECT(ADDRESS(ROW(),COLUMN()-2,4))*INDIRECT(ADDRESS(ROW(),COLUMN()-1,4))</f>
        <v>85000</v>
      </c>
    </row>
    <row r="866" spans="1:6" ht="14.25" customHeight="1" x14ac:dyDescent="0.25">
      <c r="A866" s="30" t="s">
        <v>268</v>
      </c>
      <c r="B866" s="31" t="str">
        <f ca="1">IFERROR(INDEX(UNSPSCDes,MATCH(INDIRECT(ADDRESS(ROW(),COLUMN()-1,4)),UNSPSCCode,0)),IF(INDIRECT(ADDRESS(ROW(),COLUMN()-1,4))="44103103","Tóner para impresoras o fax",""))</f>
        <v>Tóner para impresoras o fax</v>
      </c>
      <c r="C866" s="32" t="str">
        <f>IFERROR(VLOOKUP("UD",'[1]Informacion '!P:Q,2,FALSE),"")</f>
        <v>Unidad</v>
      </c>
      <c r="D866" s="30">
        <v>1</v>
      </c>
      <c r="E866" s="33">
        <v>3000</v>
      </c>
      <c r="F866" s="34">
        <f ca="1">INDIRECT(ADDRESS(ROW(),COLUMN()-2,4))*INDIRECT(ADDRESS(ROW(),COLUMN()-1,4))</f>
        <v>3000</v>
      </c>
    </row>
    <row r="867" spans="1:6" ht="14.25" customHeight="1" x14ac:dyDescent="0.25">
      <c r="A867" s="30" t="s">
        <v>269</v>
      </c>
      <c r="B867" s="31" t="str">
        <f ca="1">IFERROR(INDEX(UNSPSCDes,MATCH(INDIRECT(ADDRESS(ROW(),COLUMN()-1,4)),UNSPSCCode,0)),IF(INDIRECT(ADDRESS(ROW(),COLUMN()-1,4))="55121802","Tarjetas o bandas de identificación o productos similares",""))</f>
        <v>Tarjetas o bandas de identificación o productos similares</v>
      </c>
      <c r="C867" s="32" t="str">
        <f>IFERROR(VLOOKUP("UD",'[1]Informacion '!P:Q,2,FALSE),"")</f>
        <v>Unidad</v>
      </c>
      <c r="D867" s="30">
        <v>1</v>
      </c>
      <c r="E867" s="33">
        <v>3850</v>
      </c>
      <c r="F867" s="34">
        <f ca="1">INDIRECT(ADDRESS(ROW(),COLUMN()-2,4))*INDIRECT(ADDRESS(ROW(),COLUMN()-1,4))</f>
        <v>3850</v>
      </c>
    </row>
    <row r="868" spans="1:6" ht="14.25" customHeight="1" x14ac:dyDescent="0.25">
      <c r="E868" s="35" t="s">
        <v>47</v>
      </c>
      <c r="F868" s="36">
        <f ca="1">SUM(Table59[MONTO TOTAL ESTIMADO])</f>
        <v>91850</v>
      </c>
    </row>
    <row r="872" spans="1:6" ht="14.25" customHeight="1" x14ac:dyDescent="0.25">
      <c r="B872" s="37"/>
    </row>
    <row r="873" spans="1:6" ht="14.25" customHeight="1" x14ac:dyDescent="0.25">
      <c r="B873" s="38" t="s">
        <v>270</v>
      </c>
    </row>
    <row r="874" spans="1:6" ht="14.25" customHeight="1" x14ac:dyDescent="0.25">
      <c r="B874" s="38" t="s">
        <v>271</v>
      </c>
    </row>
  </sheetData>
  <protectedRanges>
    <protectedRange sqref="F5" name="Rango3"/>
    <protectedRange sqref="E11:E12" name="Rango2"/>
  </protectedRanges>
  <mergeCells count="122">
    <mergeCell ref="E9:F9"/>
    <mergeCell ref="E10:F10"/>
    <mergeCell ref="E11:F11"/>
    <mergeCell ref="E12:F12"/>
    <mergeCell ref="A17:A20"/>
    <mergeCell ref="D17:D20"/>
    <mergeCell ref="A1:A4"/>
    <mergeCell ref="B2:E2"/>
    <mergeCell ref="B3:E3"/>
    <mergeCell ref="E6:F6"/>
    <mergeCell ref="E7:F7"/>
    <mergeCell ref="E8:F8"/>
    <mergeCell ref="A66:A69"/>
    <mergeCell ref="D66:D69"/>
    <mergeCell ref="A80:A83"/>
    <mergeCell ref="D80:D83"/>
    <mergeCell ref="A91:A94"/>
    <mergeCell ref="D91:D94"/>
    <mergeCell ref="A28:A31"/>
    <mergeCell ref="D28:D31"/>
    <mergeCell ref="A40:A43"/>
    <mergeCell ref="D40:D43"/>
    <mergeCell ref="A54:A57"/>
    <mergeCell ref="D54:D57"/>
    <mergeCell ref="A143:A146"/>
    <mergeCell ref="D143:D146"/>
    <mergeCell ref="A154:A157"/>
    <mergeCell ref="D154:D157"/>
    <mergeCell ref="A165:A168"/>
    <mergeCell ref="D165:D168"/>
    <mergeCell ref="A103:A106"/>
    <mergeCell ref="D103:D106"/>
    <mergeCell ref="A116:A119"/>
    <mergeCell ref="D116:D119"/>
    <mergeCell ref="A127:A130"/>
    <mergeCell ref="D127:D130"/>
    <mergeCell ref="A218:A221"/>
    <mergeCell ref="D218:D221"/>
    <mergeCell ref="A234:A237"/>
    <mergeCell ref="D234:D237"/>
    <mergeCell ref="A249:A252"/>
    <mergeCell ref="D249:D252"/>
    <mergeCell ref="A177:A180"/>
    <mergeCell ref="D177:D180"/>
    <mergeCell ref="A189:A192"/>
    <mergeCell ref="D189:D192"/>
    <mergeCell ref="A206:A209"/>
    <mergeCell ref="D206:D209"/>
    <mergeCell ref="A293:A296"/>
    <mergeCell ref="D293:D296"/>
    <mergeCell ref="A321:A324"/>
    <mergeCell ref="D321:D324"/>
    <mergeCell ref="A335:A338"/>
    <mergeCell ref="D335:D338"/>
    <mergeCell ref="A260:A263"/>
    <mergeCell ref="D260:D263"/>
    <mergeCell ref="A271:A274"/>
    <mergeCell ref="D271:D274"/>
    <mergeCell ref="A282:A285"/>
    <mergeCell ref="D282:D285"/>
    <mergeCell ref="A382:A385"/>
    <mergeCell ref="D382:D385"/>
    <mergeCell ref="A400:A403"/>
    <mergeCell ref="D400:D403"/>
    <mergeCell ref="A423:A426"/>
    <mergeCell ref="D423:D426"/>
    <mergeCell ref="A348:A351"/>
    <mergeCell ref="D348:D351"/>
    <mergeCell ref="A359:A362"/>
    <mergeCell ref="D359:D362"/>
    <mergeCell ref="A370:A373"/>
    <mergeCell ref="D370:D373"/>
    <mergeCell ref="A471:A474"/>
    <mergeCell ref="D471:D474"/>
    <mergeCell ref="A482:A485"/>
    <mergeCell ref="D482:D485"/>
    <mergeCell ref="A493:A496"/>
    <mergeCell ref="D493:D496"/>
    <mergeCell ref="A437:A440"/>
    <mergeCell ref="D437:D440"/>
    <mergeCell ref="A448:A451"/>
    <mergeCell ref="D448:D451"/>
    <mergeCell ref="A460:A463"/>
    <mergeCell ref="D460:D463"/>
    <mergeCell ref="A538:A541"/>
    <mergeCell ref="D538:D541"/>
    <mergeCell ref="A559:A562"/>
    <mergeCell ref="D559:D562"/>
    <mergeCell ref="A585:A588"/>
    <mergeCell ref="D585:D588"/>
    <mergeCell ref="A504:A507"/>
    <mergeCell ref="D504:D507"/>
    <mergeCell ref="A515:A518"/>
    <mergeCell ref="D515:D518"/>
    <mergeCell ref="A526:A529"/>
    <mergeCell ref="D526:D529"/>
    <mergeCell ref="A724:A727"/>
    <mergeCell ref="D724:D727"/>
    <mergeCell ref="A737:A740"/>
    <mergeCell ref="D737:D740"/>
    <mergeCell ref="A749:A752"/>
    <mergeCell ref="D749:D752"/>
    <mergeCell ref="A599:A602"/>
    <mergeCell ref="D599:D602"/>
    <mergeCell ref="A610:A613"/>
    <mergeCell ref="D610:D613"/>
    <mergeCell ref="A621:A624"/>
    <mergeCell ref="D621:D624"/>
    <mergeCell ref="A859:A862"/>
    <mergeCell ref="D859:D862"/>
    <mergeCell ref="A813:A816"/>
    <mergeCell ref="D813:D816"/>
    <mergeCell ref="A824:A827"/>
    <mergeCell ref="D824:D827"/>
    <mergeCell ref="A835:A838"/>
    <mergeCell ref="D835:D838"/>
    <mergeCell ref="A761:A764"/>
    <mergeCell ref="D761:D764"/>
    <mergeCell ref="A785:A788"/>
    <mergeCell ref="D785:D788"/>
    <mergeCell ref="A797:A800"/>
    <mergeCell ref="D797:D800"/>
  </mergeCells>
  <dataValidations count="12">
    <dataValidation type="decimal" operator="greaterThan" allowBlank="1" showInputMessage="1" showErrorMessage="1" sqref="D865:E867 D841:E854 D830:E830 D819:E819 D803:E808 D791:E792 D767:E780 D755:E756 D743:E744 D730:E732 D627:E719 D616:E616 D605:E605 D591:E594 D565:E580 D544:E554 D532:E533 D521:E521 D510:E510 D499:E499 D488:E488 D477:E477 D466:E466 D454:E455 D443:E443 D429:E432 D406:E418 D388:E395 D376:E377 D365:E365 D354:E354 D341:E343 D327:E330 D299:E316 D288:E288 D277:E277 D266:E266 D255:E255 D240:E244 D224:E229 D212:E213 D195:E201 D183:E184 D171:E172 D160:E160 D149:E149 D133:E138 D122:E122 D109:E111 D97:E98 D86:E86 D72:E75 D60:E61 D46:E49 D34:E35 D23:E23" xr:uid="{EB1BD417-D401-46DB-846E-7A3275F987F9}">
      <formula1>0</formula1>
    </dataValidation>
    <dataValidation type="list" allowBlank="1" showInputMessage="1" showErrorMessage="1" sqref="C23 C865:C867 C841:C854 C830 C819 C803:C808 C791:C792 C767:C780 C755:C756 C743:C744 C730:C732 C627:C719 C616 C605 C591:C594 C565:C580 C544:C554 C532:C533 C521 C510 C499 C488 C477 C466 C454:C455 C443 C429:C432 C406:C418 C388:C395 C376:C377 C365 C354 C341:C343 C327:C330 C299:C316 C288 C277 C266 C255 C240:C244 C224:C229 C212:C213 C195:C201 C183:C184 C171:C172 C160 C149 C133:C138 C122 C109:C111 C97:C98 C86 C72:C75 C60:C61 C46:C49 C34:C35" xr:uid="{95806CCC-8738-4A1C-A26D-A444786E5720}">
      <formula1>UnidadesList</formula1>
    </dataValidation>
    <dataValidation type="whole" operator="greaterThan" allowBlank="1" showInputMessage="1" showErrorMessage="1" sqref="A23 A865:A867 A841:A854 A830 A819 A803:A808 A791:A792 A767:A780 A755:A756 A743:A744 A730:A732 A627:A719 A616 A605 A591:A594 A565:A580 A544:A554 A532:A533 A521 A510 A499 A488 A477 A466 A454:A455 A443 A429:A432 A406:A418 A388:A395 A376:A377 A365 A354 A341:A343 A327:A330 A299:A316 A288 A277 A266 A255 A240:A244 A224:A229 A212:A213 A195:A201 A183:A184 A171:A172 A160 A149 A133:A138 A122 A109:A111 A97:A98 A86 A72:A75 A60:A61 A46:A49 A34:A35" xr:uid="{801ADB33-F1D9-46C1-B290-2545726ACFA0}">
      <formula1>0</formula1>
    </dataValidation>
    <dataValidation type="list" allowBlank="1" showInputMessage="1" showErrorMessage="1" sqref="F20 F862 F838 F827 F816 F800 F788 F764 F752 F740 F727 F624 F613 F602 F588 F562 F541 F529 F518 F507 F496 F485 F474 F463 F451 F440 F426 F403 F385 F373 F362 F351 F338 F324 F296 F285 F274 F263 F252 F237 F221 F209 F192 F180 F168 F157 F146 F130 F119 F106 F94 F83 F69 F57 F43 F31" xr:uid="{65E9AE18-AB2D-4A56-B9DE-86A542B1BBEE}">
      <formula1>OFFSET(MunicipioStart,MATCH(INDIRECT(ADDRESS(ROW()-1,COLUMN(),4)),MunicipioColumn,0)-1,1,COUNTIF(MunicipioColumn,INDIRECT(ADDRESS(ROW()-1,COLUMN(),4))),1)</formula1>
    </dataValidation>
    <dataValidation type="list" allowBlank="1" showInputMessage="1" showErrorMessage="1" sqref="F19 F861 F837 F826 F815 F799 F787 F763 F751 F739 F726 F623 F612 F601 F587 F561 F540 F528 F517 F506 F495 F484 F473 F462 F450 F439 F425 F402 F384 F372 F361 F350 F337 F323 F295 F284 F273 F262 F251 F236 F220 F208 F191 F179 F167 F156 F145 F129 F118 F105 F93 F82 F68 F56 F42 F30" xr:uid="{3AC754E2-1A99-46A5-9BCE-2129082652D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860 F836 F825 F814 F798 F786 F762 F750 F738 F725 F622 F611 F600 F586 F560 F539 F527 F516 F505 F494 F483 F472 F461 F449 F438 F424 F401 F383 F371 F360 F349 F336 F322 F294 F283 F272 F261 F250 F235 F219 F207 F190 F178 F166 F155 F144 F128 F117 F104 F92 F81 F67 F55 F41 F29" xr:uid="{B6530DC2-EAB7-4916-82AF-1A04C69F3DBC}">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859 F835 F824 F813 F797 F785 F761 F749 F737 F724 F621 F610 F599 F585 F559 F538 F526 F515 F504 F493 F482 F471 F460 F448 F437 F423 F400 F382 F370 F359 F348 F335 F321 F293 F282 F271 F260 F249 F234 F218 F206 F189 F177 F165 F154 F143 F127 F116 F103 F91 F80 F66 F54 F40 F28" xr:uid="{6C3AF8E9-57DA-4485-928E-A3C8270FBF9D}">
      <formula1>IF(INDIRECT(ADDRESS(ROW()+1,COLUMN(),4))="",RegionList,INDEX(RegionColumn,MATCH(INDIRECT(ADDRESS(ROW()+1,COLUMN(),4)),ProvinciaList,0)))</formula1>
    </dataValidation>
    <dataValidation type="date" operator="greaterThanOrEqual" allowBlank="1" showInputMessage="1" showErrorMessage="1" sqref="C19 C861 C837 C826 C815 C799 C787 C763 C751 C739 C726 C623 C612 C601 C587 C561 C540 C528 C517 C506 C495 C484 C473 C462 C450 C439 C425 C402 C384 C372 C361 C350 C337 C323 C295 C284 C273 C262 C251 C236 C220 C208 C191 C179 C167 C156 C145 C129 C118 C105 C93 C82 C68 C56 C42 C30" xr:uid="{84699E77-8329-4657-84F8-A5E14DD5314E}">
      <formula1>C17</formula1>
    </dataValidation>
    <dataValidation type="date" operator="lessThanOrEqual" allowBlank="1" showInputMessage="1" showErrorMessage="1" sqref="C17 C859 C835 C824 C813 C797 C785 C761 C749 C737 C724 C621 C610 C599 C585 C559 C538 C526 C515 C504 C493 C482 C471 C460 C448 C437 C423 C400 C382 C370 C359 C348 C335 C321 C293 C282 C271 C260 C249 C234 C218 C206 C189 C177 C165 C154 C143 C127 C116 C103 C91 C80 C66 C54 C40 C28" xr:uid="{374FA109-3491-475A-8ED9-318640FE2FA5}">
      <formula1>C19</formula1>
    </dataValidation>
    <dataValidation operator="greaterThan" allowBlank="1" showInputMessage="1" showErrorMessage="1" sqref="E10:F10" xr:uid="{56CA703C-8D40-4528-98A6-8C27B4F1FD9D}"/>
    <dataValidation type="date" operator="greaterThan" allowBlank="1" showInputMessage="1" showErrorMessage="1" sqref="E12:F12" xr:uid="{E6D136FA-FF7D-4323-82B3-A672AF43B09C}">
      <formula1>36526</formula1>
    </dataValidation>
    <dataValidation type="whole" allowBlank="1" showInputMessage="1" showErrorMessage="1" sqref="E11:F11" xr:uid="{56F98956-F8F5-4B92-9B4E-FCD73FF64499}">
      <formula1>1900</formula1>
      <formula2>3000</formula2>
    </dataValidation>
  </dataValidations>
  <pageMargins left="0.3" right="0.3" top="0.5" bottom="0.5" header="0.3" footer="0.3"/>
  <pageSetup scale="55" orientation="portrait" verticalDpi="0" r:id="rId1"/>
  <drawing r:id="rId2"/>
  <legacyDrawing r:id="rId3"/>
  <tableParts count="5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Guillen</dc:creator>
  <cp:lastModifiedBy>Paula Guillen</cp:lastModifiedBy>
  <cp:lastPrinted>2025-05-07T13:30:23Z</cp:lastPrinted>
  <dcterms:created xsi:type="dcterms:W3CDTF">2025-05-07T13:20:54Z</dcterms:created>
  <dcterms:modified xsi:type="dcterms:W3CDTF">2025-05-07T13:32:55Z</dcterms:modified>
</cp:coreProperties>
</file>