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33498F9F-7C57-4461-B152-1E910BF1CC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5" i="3" l="1"/>
  <c r="K29" i="3"/>
  <c r="K23" i="3"/>
  <c r="K21" i="3"/>
  <c r="K17" i="3"/>
  <c r="K11" i="3"/>
  <c r="K12" i="3"/>
  <c r="K15" i="3"/>
  <c r="J83" i="3"/>
  <c r="J52" i="3"/>
  <c r="J26" i="3"/>
  <c r="J16" i="3"/>
  <c r="L52" i="2"/>
  <c r="L16" i="2"/>
  <c r="J15" i="2"/>
  <c r="H21" i="2"/>
  <c r="E54" i="1"/>
  <c r="C52" i="2"/>
  <c r="J33" i="2"/>
  <c r="J27" i="2"/>
  <c r="J25" i="2"/>
  <c r="J21" i="2"/>
  <c r="J17" i="2"/>
  <c r="G16" i="3"/>
  <c r="F17" i="3"/>
  <c r="G35" i="3"/>
  <c r="G27" i="3"/>
  <c r="G25" i="3"/>
  <c r="G24" i="3"/>
  <c r="G23" i="3"/>
  <c r="G52" i="3"/>
  <c r="I16" i="2"/>
  <c r="G26" i="3" l="1"/>
  <c r="G33" i="3"/>
  <c r="G17" i="3"/>
  <c r="G15" i="3"/>
  <c r="G11" i="3"/>
  <c r="F26" i="3"/>
  <c r="F52" i="3"/>
  <c r="F16" i="3"/>
  <c r="F83" i="3" s="1"/>
  <c r="H53" i="2"/>
  <c r="H52" i="2" s="1"/>
  <c r="H35" i="2"/>
  <c r="H27" i="2"/>
  <c r="H22" i="2"/>
  <c r="H17" i="2"/>
  <c r="H16" i="2" s="1"/>
  <c r="H11" i="2"/>
  <c r="H15" i="2"/>
  <c r="P37" i="2"/>
  <c r="E16" i="3"/>
  <c r="E26" i="3"/>
  <c r="G35" i="2"/>
  <c r="G29" i="2"/>
  <c r="G19" i="2"/>
  <c r="G11" i="2"/>
  <c r="G83" i="3" l="1"/>
  <c r="G25" i="2"/>
  <c r="G22" i="2"/>
  <c r="F21" i="2"/>
  <c r="F17" i="2"/>
  <c r="E23" i="2"/>
  <c r="G17" i="2" l="1"/>
  <c r="G16" i="2" s="1"/>
  <c r="G15" i="2"/>
  <c r="E18" i="1"/>
  <c r="F16" i="2"/>
  <c r="N37" i="3" l="1"/>
  <c r="D16" i="3"/>
  <c r="D27" i="3"/>
  <c r="D25" i="3"/>
  <c r="D24" i="3"/>
  <c r="D21" i="3"/>
  <c r="D17" i="3"/>
  <c r="D11" i="3"/>
  <c r="D15" i="3"/>
  <c r="C26" i="3"/>
  <c r="E35" i="2" l="1"/>
  <c r="E27" i="2"/>
  <c r="E25" i="2"/>
  <c r="E17" i="2" l="1"/>
  <c r="E16" i="2" s="1"/>
  <c r="E15" i="2"/>
  <c r="E11" i="2"/>
  <c r="B16" i="3"/>
  <c r="B11" i="2"/>
  <c r="B15" i="2"/>
  <c r="B12" i="2"/>
  <c r="C15" i="2"/>
  <c r="C12" i="2"/>
  <c r="D16" i="2"/>
  <c r="C16" i="3"/>
  <c r="D28" i="1"/>
  <c r="D12" i="1"/>
  <c r="M16" i="3"/>
  <c r="M26" i="3"/>
  <c r="M52" i="3"/>
  <c r="O16" i="2"/>
  <c r="L16" i="3"/>
  <c r="K26" i="3"/>
  <c r="P34" i="2"/>
  <c r="P57" i="2"/>
  <c r="P56" i="2"/>
  <c r="P55" i="2"/>
  <c r="B10" i="2" l="1"/>
  <c r="H16" i="3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B16" i="2"/>
  <c r="D18" i="1" l="1"/>
  <c r="M10" i="3"/>
  <c r="O52" i="2"/>
  <c r="C36" i="2"/>
  <c r="C16" i="2"/>
  <c r="N54" i="3"/>
  <c r="L2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D26" i="3"/>
  <c r="N25" i="3"/>
  <c r="K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D83" i="3" s="1"/>
  <c r="C10" i="3"/>
  <c r="B10" i="3"/>
  <c r="N11" i="3"/>
  <c r="P54" i="2"/>
  <c r="P53" i="2"/>
  <c r="N52" i="2"/>
  <c r="M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N16" i="2"/>
  <c r="M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K83" i="3" l="1"/>
  <c r="P10" i="2"/>
  <c r="E83" i="3"/>
  <c r="C83" i="3"/>
  <c r="B83" i="3"/>
  <c r="M83" i="3"/>
  <c r="L83" i="3"/>
  <c r="B83" i="2"/>
  <c r="P52" i="2"/>
  <c r="C83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E85" i="1" l="1"/>
  <c r="N83" i="3"/>
  <c r="D85" i="1"/>
  <c r="P83" i="2"/>
</calcChain>
</file>

<file path=xl/sharedStrings.xml><?xml version="1.0" encoding="utf-8"?>
<sst xmlns="http://schemas.openxmlformats.org/spreadsheetml/2006/main" count="293" uniqueCount="115">
  <si>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</si>
  <si>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</si>
  <si>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</si>
  <si>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</si>
  <si>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</si>
  <si>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</si>
  <si>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</si>
  <si>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</si>
  <si>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</si>
  <si>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</si>
  <si>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</si>
  <si>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</si>
  <si>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</si>
  <si>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</si>
  <si>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</si>
  <si>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</si>
  <si>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</si>
  <si>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</si>
  <si>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</si>
  <si>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</si>
  <si>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</si>
  <si>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</si>
  <si>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</si>
  <si>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</si>
  <si>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</si>
  <si>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</si>
  <si>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</si>
  <si>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</si>
  <si>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</si>
  <si>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</si>
  <si>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</si>
  <si>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</si>
  <si>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</si>
  <si>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</si>
  <si>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</si>
  <si>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</si>
  <si>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</si>
  <si>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</si>
  <si>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</si>
  <si>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</si>
  <si>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</si>
  <si>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</si>
  <si>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</si>
  <si>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</si>
  <si>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</si>
  <si>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</si>
  <si>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</si>
  <si>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</si>
  <si>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</si>
  <si>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</si>
  <si>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</si>
  <si>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</si>
  <si>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</si>
  <si>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</si>
  <si>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</si>
  <si>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</si>
  <si>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</si>
  <si>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</si>
  <si>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</si>
  <si>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</si>
  <si>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</si>
  <si>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</si>
  <si>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</si>
  <si>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</si>
  <si>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</si>
  <si>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</si>
  <si>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</si>
  <si>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</si>
  <si>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</si>
  <si>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</si>
  <si>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</si>
  <si>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</si>
  <si>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</si>
  <si>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</si>
  <si>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</si>
  <si>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</si>
  <si>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</si>
  <si>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</si>
  <si>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</si>
  <si>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</si>
  <si>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</si>
  <si>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</si>
  <si>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</si>
  <si>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</si>
  <si>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</si>
  <si>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</si>
  <si>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</si>
  <si>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</si>
  <si>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</si>
  <si>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</si>
  <si>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</si>
  <si>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</si>
  <si>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</si>
  <si>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</si>
  <si>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</si>
  <si>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</si>
  <si>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</si>
  <si>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</si>
  <si>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</si>
  <si>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</si>
  <si>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</si>
  <si>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</si>
  <si>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</si>
  <si>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</si>
  <si>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</si>
  <si>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</si>
  <si>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</si>
  <si>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</si>
  <si>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</si>
  <si>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</si>
  <si>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</si>
  <si>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</si>
  <si>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RD$458,209.36</t>
  </si>
  <si>
    <t>Dic</t>
  </si>
  <si>
    <t>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</si>
</sst>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top" wrapText="1" readingOrder="1"/>
    </xf>
    <xf numFmtId="0" fontId="1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457200</xdr:colOff>
      <xdr:row>0</xdr:row>
      <xdr:rowOff>0</xdr:rowOff>
    </xdr:from>
    <xdr:to>
      <xdr:col>15</xdr:col>
      <xdr:colOff>1009650</xdr:colOff>
      <xdr:row>4</xdr:row>
      <xdr:rowOff>171450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468475" y="0"/>
          <a:ext cx="173355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590551</xdr:colOff>
      <xdr:row>0</xdr:row>
      <xdr:rowOff>0</xdr:rowOff>
    </xdr:from>
    <xdr:to>
      <xdr:col>15</xdr:col>
      <xdr:colOff>861672</xdr:colOff>
      <xdr:row>4</xdr:row>
      <xdr:rowOff>161925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6" y="0"/>
          <a:ext cx="1452221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I21" sqref="I2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8" t="s">
        <v>111</v>
      </c>
      <c r="D3" s="38"/>
      <c r="E3" s="3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8" t="s">
        <v>98</v>
      </c>
      <c r="D4" s="38"/>
      <c r="E4" s="3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4">
        <v>2024</v>
      </c>
      <c r="D5" s="45"/>
      <c r="E5" s="4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9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9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1" t="s">
        <v>66</v>
      </c>
      <c r="D9" s="42" t="s">
        <v>94</v>
      </c>
      <c r="E9" s="42" t="s">
        <v>93</v>
      </c>
      <c r="F9" s="8"/>
    </row>
    <row r="10" spans="2:16" ht="23.25" customHeight="1" x14ac:dyDescent="0.25">
      <c r="C10" s="41"/>
      <c r="D10" s="43"/>
      <c r="E10" s="4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220213213</v>
      </c>
      <c r="F12" s="8"/>
    </row>
    <row r="13" spans="2:16" x14ac:dyDescent="0.25">
      <c r="C13" s="5" t="s">
        <v>2</v>
      </c>
      <c r="D13" s="6">
        <v>169461162</v>
      </c>
      <c r="E13" s="6">
        <v>169461162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91527179</v>
      </c>
      <c r="F18" s="8"/>
    </row>
    <row r="19" spans="3:6" x14ac:dyDescent="0.25">
      <c r="C19" s="5" t="s">
        <v>8</v>
      </c>
      <c r="D19" s="6">
        <v>23080000</v>
      </c>
      <c r="E19" s="6">
        <v>24785000</v>
      </c>
      <c r="F19" s="8"/>
    </row>
    <row r="20" spans="3:6" x14ac:dyDescent="0.25">
      <c r="C20" s="5" t="s">
        <v>9</v>
      </c>
      <c r="D20" s="6">
        <v>515000</v>
      </c>
      <c r="E20" s="6">
        <v>465000</v>
      </c>
      <c r="F20" s="8"/>
    </row>
    <row r="21" spans="3:6" x14ac:dyDescent="0.25">
      <c r="C21" s="5" t="s">
        <v>10</v>
      </c>
      <c r="D21" s="6">
        <v>4200000</v>
      </c>
      <c r="E21" s="6">
        <v>16610000</v>
      </c>
      <c r="F21" s="8"/>
    </row>
    <row r="22" spans="3:6" x14ac:dyDescent="0.25">
      <c r="C22" s="5" t="s">
        <v>11</v>
      </c>
      <c r="D22" s="6">
        <v>2720000</v>
      </c>
      <c r="E22" s="6">
        <v>2850000</v>
      </c>
      <c r="F22" s="8"/>
    </row>
    <row r="23" spans="3:6" x14ac:dyDescent="0.25">
      <c r="C23" s="5" t="s">
        <v>12</v>
      </c>
      <c r="D23" s="6">
        <v>22629000</v>
      </c>
      <c r="E23" s="6">
        <v>21050000</v>
      </c>
    </row>
    <row r="24" spans="3:6" x14ac:dyDescent="0.25">
      <c r="C24" s="5" t="s">
        <v>13</v>
      </c>
      <c r="D24" s="6">
        <v>13300000</v>
      </c>
      <c r="E24" s="6">
        <v>13070830</v>
      </c>
    </row>
    <row r="25" spans="3:6" x14ac:dyDescent="0.25">
      <c r="C25" s="5" t="s">
        <v>14</v>
      </c>
      <c r="D25" s="6">
        <v>4900000</v>
      </c>
      <c r="E25" s="6">
        <v>4019500</v>
      </c>
    </row>
    <row r="26" spans="3:6" x14ac:dyDescent="0.25">
      <c r="C26" s="5" t="s">
        <v>15</v>
      </c>
      <c r="D26" s="6">
        <v>3896849</v>
      </c>
      <c r="E26" s="6">
        <v>4665849</v>
      </c>
    </row>
    <row r="27" spans="3:6" x14ac:dyDescent="0.25">
      <c r="C27" s="5" t="s">
        <v>16</v>
      </c>
      <c r="D27" s="6">
        <v>2900000</v>
      </c>
      <c r="E27" s="6">
        <v>4011000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16741348</v>
      </c>
    </row>
    <row r="29" spans="3:6" x14ac:dyDescent="0.25">
      <c r="C29" s="5" t="s">
        <v>18</v>
      </c>
      <c r="D29" s="6">
        <v>665000</v>
      </c>
      <c r="E29" s="6">
        <v>901300</v>
      </c>
    </row>
    <row r="30" spans="3:6" x14ac:dyDescent="0.25">
      <c r="C30" s="5" t="s">
        <v>19</v>
      </c>
      <c r="D30" s="6">
        <v>448000</v>
      </c>
      <c r="E30" s="6">
        <v>366600</v>
      </c>
    </row>
    <row r="31" spans="3:6" x14ac:dyDescent="0.25">
      <c r="C31" s="5" t="s">
        <v>20</v>
      </c>
      <c r="D31" s="6">
        <v>675000</v>
      </c>
      <c r="E31" s="6">
        <v>480000</v>
      </c>
    </row>
    <row r="32" spans="3:6" x14ac:dyDescent="0.25">
      <c r="C32" s="5" t="s">
        <v>21</v>
      </c>
      <c r="D32" s="6">
        <v>10000</v>
      </c>
      <c r="E32" s="6">
        <v>4000</v>
      </c>
    </row>
    <row r="33" spans="3:5" x14ac:dyDescent="0.25">
      <c r="C33" s="5" t="s">
        <v>22</v>
      </c>
      <c r="D33" s="6">
        <v>700000</v>
      </c>
      <c r="E33" s="6">
        <v>563400</v>
      </c>
    </row>
    <row r="34" spans="3:5" x14ac:dyDescent="0.25">
      <c r="C34" s="5" t="s">
        <v>23</v>
      </c>
      <c r="D34" s="6">
        <v>119678</v>
      </c>
      <c r="E34" s="6">
        <v>474678</v>
      </c>
    </row>
    <row r="35" spans="3:5" x14ac:dyDescent="0.25">
      <c r="C35" s="5" t="s">
        <v>24</v>
      </c>
      <c r="D35" s="6">
        <v>11100000</v>
      </c>
      <c r="E35" s="6">
        <v>11397200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2554170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E55+E58+E59+E56+E62</f>
        <v>3000000</v>
      </c>
    </row>
    <row r="55" spans="3:5" x14ac:dyDescent="0.25">
      <c r="C55" s="5" t="s">
        <v>44</v>
      </c>
      <c r="D55" s="6">
        <v>1900000</v>
      </c>
      <c r="E55" s="6">
        <v>2335000</v>
      </c>
    </row>
    <row r="56" spans="3:5" x14ac:dyDescent="0.25">
      <c r="C56" s="5" t="s">
        <v>45</v>
      </c>
      <c r="D56" s="6"/>
      <c r="E56" s="6">
        <v>178000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>
        <v>27000</v>
      </c>
    </row>
    <row r="59" spans="3:5" x14ac:dyDescent="0.25">
      <c r="C59" s="5" t="s">
        <v>48</v>
      </c>
      <c r="D59" s="6">
        <v>1100000</v>
      </c>
      <c r="E59" s="6">
        <v>410000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50000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331531740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showGridLines="0" tabSelected="1" topLeftCell="A22" workbookViewId="0">
      <selection activeCell="F31" sqref="F31"/>
    </sheetView>
  </sheetViews>
  <sheetFormatPr defaultColWidth="11.42578125" defaultRowHeight="15" x14ac:dyDescent="0.25"/>
  <cols>
    <col min="1" max="1" width="39.425781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14" customWidth="1"/>
    <col min="14" max="14" width="9.28515625" customWidth="1"/>
    <col min="15" max="15" width="8.42578125" customWidth="1"/>
    <col min="16" max="16" width="15.5703125" customWidth="1"/>
  </cols>
  <sheetData>
    <row r="1" spans="1:17" ht="18.75" customHeight="1" x14ac:dyDescent="0.25">
      <c r="A1" s="55" t="s">
        <v>111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7" ht="17.25" customHeight="1" x14ac:dyDescent="0.25">
      <c r="A2" s="57" t="s">
        <v>99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9.75" customHeight="1" x14ac:dyDescent="0.25">
      <c r="A3" s="44">
        <v>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7" ht="15.75" customHeight="1" x14ac:dyDescent="0.25">
      <c r="A4" s="39" t="s">
        <v>92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7" ht="15" customHeight="1" x14ac:dyDescent="0.25">
      <c r="A5" s="40" t="s">
        <v>77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7" hidden="1" x14ac:dyDescent="0.25"/>
    <row r="7" spans="1:17" ht="25.5" customHeight="1" x14ac:dyDescent="0.25">
      <c r="A7" s="41" t="s">
        <v>66</v>
      </c>
      <c r="B7" s="42" t="s">
        <v>94</v>
      </c>
      <c r="C7" s="42" t="s">
        <v>93</v>
      </c>
      <c r="D7" s="47" t="s">
        <v>91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9"/>
    </row>
    <row r="8" spans="1:17" x14ac:dyDescent="0.25">
      <c r="A8" s="41"/>
      <c r="B8" s="43"/>
      <c r="C8" s="43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87</v>
      </c>
      <c r="M8" s="15" t="s">
        <v>88</v>
      </c>
      <c r="N8" s="15" t="s">
        <v>114</v>
      </c>
      <c r="O8" s="16" t="s">
        <v>113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5">
        <f>B11+B12+B15</f>
        <v>220213213</v>
      </c>
      <c r="C10" s="25">
        <f>C11+C12+C15</f>
        <v>220213213</v>
      </c>
      <c r="D10" s="25">
        <f t="shared" ref="D10:O10" si="0">D11+D12+D15</f>
        <v>14296930.99</v>
      </c>
      <c r="E10" s="25">
        <f t="shared" si="0"/>
        <v>14372212.880000001</v>
      </c>
      <c r="F10" s="25">
        <f t="shared" si="0"/>
        <v>15495728.01</v>
      </c>
      <c r="G10" s="25">
        <f t="shared" si="0"/>
        <v>14490865.289999999</v>
      </c>
      <c r="H10" s="25">
        <f t="shared" si="0"/>
        <v>26405869.960000001</v>
      </c>
      <c r="I10" s="25">
        <f t="shared" si="0"/>
        <v>14862186.59</v>
      </c>
      <c r="J10" s="25">
        <f t="shared" si="0"/>
        <v>14790923.1</v>
      </c>
      <c r="K10" s="25">
        <f t="shared" si="0"/>
        <v>14902826.799999999</v>
      </c>
      <c r="L10" s="25">
        <f t="shared" si="0"/>
        <v>14468897.75</v>
      </c>
      <c r="M10" s="25">
        <f t="shared" si="0"/>
        <v>28762097.880000003</v>
      </c>
      <c r="N10" s="25">
        <f t="shared" si="0"/>
        <v>0</v>
      </c>
      <c r="O10" s="25">
        <f t="shared" si="0"/>
        <v>0</v>
      </c>
      <c r="P10" s="25">
        <f>SUM(D10:O10)</f>
        <v>172848539.25</v>
      </c>
    </row>
    <row r="11" spans="1:17" x14ac:dyDescent="0.25">
      <c r="A11" s="29" t="s">
        <v>2</v>
      </c>
      <c r="B11" s="24">
        <f>145407162+6404000+12450000+3700000+1500000</f>
        <v>169461162</v>
      </c>
      <c r="C11" s="24">
        <v>169461162</v>
      </c>
      <c r="D11" s="24">
        <v>12143507.34</v>
      </c>
      <c r="E11" s="24">
        <f>11376807.09+827000</f>
        <v>12203807.09</v>
      </c>
      <c r="F11" s="24">
        <v>13399653.869999999</v>
      </c>
      <c r="G11" s="24">
        <f>11494685.07+563000+286558.37</f>
        <v>12344243.439999999</v>
      </c>
      <c r="H11" s="24">
        <f>11461835.99+400000+690642+297258+11464509.6</f>
        <v>24314245.59</v>
      </c>
      <c r="I11" s="24">
        <v>12681623.6</v>
      </c>
      <c r="J11" s="24">
        <v>12593683.199999999</v>
      </c>
      <c r="K11" s="24">
        <v>12717348.529999999</v>
      </c>
      <c r="L11" s="24">
        <v>12326589.609999999</v>
      </c>
      <c r="M11" s="24">
        <v>14426669.439999999</v>
      </c>
      <c r="N11" s="24">
        <v>0</v>
      </c>
      <c r="O11" s="24">
        <v>0</v>
      </c>
      <c r="P11" s="24">
        <f>SUM(D11:O11)</f>
        <v>139151371.71000001</v>
      </c>
    </row>
    <row r="12" spans="1:17" x14ac:dyDescent="0.25">
      <c r="A12" s="29" t="s">
        <v>3</v>
      </c>
      <c r="B12" s="24">
        <f>4002000+12000000+12000000</f>
        <v>28002000</v>
      </c>
      <c r="C12" s="24">
        <f>4002000+12000000+12000000</f>
        <v>28002000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308500</v>
      </c>
      <c r="I12" s="24">
        <v>308500</v>
      </c>
      <c r="J12" s="24">
        <v>333500</v>
      </c>
      <c r="K12" s="24">
        <v>333500</v>
      </c>
      <c r="L12" s="24">
        <v>288500</v>
      </c>
      <c r="M12" s="24">
        <v>12492399.27</v>
      </c>
      <c r="N12" s="24">
        <v>0</v>
      </c>
      <c r="O12" s="24">
        <v>0</v>
      </c>
      <c r="P12" s="24">
        <f>SUM(D12:O12)</f>
        <v>15398899.27</v>
      </c>
    </row>
    <row r="13" spans="1:17" x14ac:dyDescent="0.25">
      <c r="A13" s="29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 x14ac:dyDescent="0.25">
      <c r="A14" s="29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x14ac:dyDescent="0.25">
      <c r="A15" s="29" t="s">
        <v>6</v>
      </c>
      <c r="B15" s="24">
        <f>10570151+10854000+1325900</f>
        <v>22750051</v>
      </c>
      <c r="C15" s="24">
        <f>10570151+10854000+1325900</f>
        <v>22750051</v>
      </c>
      <c r="D15" s="24">
        <v>1819923.65</v>
      </c>
      <c r="E15" s="24">
        <f>859409.67+866470.3+109025.82</f>
        <v>1834905.7900000003</v>
      </c>
      <c r="F15" s="24">
        <v>1762574.14</v>
      </c>
      <c r="G15" s="24">
        <f>849049.59+856095.62+107976.64</f>
        <v>1813121.8499999999</v>
      </c>
      <c r="H15" s="24">
        <f>835163.87+842190.36+105770.14</f>
        <v>1783124.3699999999</v>
      </c>
      <c r="I15" s="24">
        <v>1872062.99</v>
      </c>
      <c r="J15" s="24">
        <f>872482.14+879561.27+111696.49</f>
        <v>1863739.9000000001</v>
      </c>
      <c r="K15" s="24">
        <v>1851978.27</v>
      </c>
      <c r="L15" s="24">
        <v>1853808.14</v>
      </c>
      <c r="M15" s="24">
        <v>1843029.17</v>
      </c>
      <c r="N15" s="24">
        <v>0</v>
      </c>
      <c r="O15" s="24">
        <v>0</v>
      </c>
      <c r="P15" s="24">
        <f t="shared" ref="P15:P25" si="1">SUM(D15:O15)</f>
        <v>18298268.27</v>
      </c>
    </row>
    <row r="16" spans="1:17" x14ac:dyDescent="0.25">
      <c r="A16" s="3" t="s">
        <v>7</v>
      </c>
      <c r="B16" s="25">
        <f t="shared" ref="B16:G16" si="2">B17+B18+B19+B20+B21+B22+B23+B24+B25</f>
        <v>78140849</v>
      </c>
      <c r="C16" s="25">
        <f t="shared" si="2"/>
        <v>91527179</v>
      </c>
      <c r="D16" s="25">
        <f t="shared" si="2"/>
        <v>6620670.3200000003</v>
      </c>
      <c r="E16" s="25">
        <f t="shared" si="2"/>
        <v>4391463.0600000005</v>
      </c>
      <c r="F16" s="25">
        <f t="shared" si="2"/>
        <v>8824323.0700000003</v>
      </c>
      <c r="G16" s="25">
        <f t="shared" si="2"/>
        <v>7688170.1600000001</v>
      </c>
      <c r="H16" s="25">
        <f>H17+H18+H19+H20+H21+H22+H23+H24+H25</f>
        <v>5483939.25</v>
      </c>
      <c r="I16" s="25">
        <f>I17+I18+I19+I20+I21+I22+I23+I24+I25</f>
        <v>7848671.5499999998</v>
      </c>
      <c r="J16" s="25">
        <f>J17+J18+J19+J20+J21+J22+J23+J24+J25</f>
        <v>7113597.3099999996</v>
      </c>
      <c r="K16" s="25">
        <f>K17+K18+K19+K20+K21+K22+K23+K24+K25</f>
        <v>6608735.9630000005</v>
      </c>
      <c r="L16" s="25">
        <f>L17+L18+L19+L20+L21+L22+L23+L24+L25</f>
        <v>7080793.5300000003</v>
      </c>
      <c r="M16" s="25">
        <f t="shared" ref="M16:N16" si="3">M17+M18+M19+M20+M21+M22+M23+M24</f>
        <v>5621676</v>
      </c>
      <c r="N16" s="25">
        <f t="shared" si="3"/>
        <v>0</v>
      </c>
      <c r="O16" s="25">
        <f>O17+O18+O19+O20+O21+O22+O23+O24+O25</f>
        <v>0</v>
      </c>
      <c r="P16" s="25">
        <f t="shared" si="1"/>
        <v>67282040.213</v>
      </c>
    </row>
    <row r="17" spans="1:16" x14ac:dyDescent="0.25">
      <c r="A17" s="5" t="s">
        <v>8</v>
      </c>
      <c r="B17" s="24">
        <v>23080000</v>
      </c>
      <c r="C17" s="24">
        <v>24785000</v>
      </c>
      <c r="D17" s="24">
        <v>2305139.54</v>
      </c>
      <c r="E17" s="24">
        <f>435773.34+200867.09+986583.16+572753.39</f>
        <v>2195976.98</v>
      </c>
      <c r="F17" s="24">
        <f>531894.62+219894.11+999645.05+574030.01</f>
        <v>2325463.79</v>
      </c>
      <c r="G17" s="24">
        <f>484997.82+212250.14+991064.55+603000.69</f>
        <v>2291313.2000000002</v>
      </c>
      <c r="H17" s="24">
        <f>474796.68+207121.11+993058.71+598636.33</f>
        <v>2273612.83</v>
      </c>
      <c r="I17" s="24">
        <v>2295791.36</v>
      </c>
      <c r="J17" s="24">
        <f>385113.19+181759.16+994111.87+621525.71</f>
        <v>2182509.9299999997</v>
      </c>
      <c r="K17" s="24">
        <v>2344086.4900000002</v>
      </c>
      <c r="L17" s="24">
        <v>2228402.77</v>
      </c>
      <c r="M17" s="24">
        <v>1808043.44</v>
      </c>
      <c r="N17" s="24">
        <v>0</v>
      </c>
      <c r="O17" s="24">
        <v>0</v>
      </c>
      <c r="P17" s="24">
        <f t="shared" si="1"/>
        <v>22250340.329999998</v>
      </c>
    </row>
    <row r="18" spans="1:16" x14ac:dyDescent="0.25">
      <c r="A18" s="5" t="s">
        <v>9</v>
      </c>
      <c r="B18" s="24">
        <v>515000</v>
      </c>
      <c r="C18" s="24">
        <v>465000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18585</v>
      </c>
      <c r="M18" s="24">
        <v>0</v>
      </c>
      <c r="N18" s="24">
        <v>0</v>
      </c>
      <c r="O18" s="24">
        <v>0</v>
      </c>
      <c r="P18" s="24">
        <f t="shared" si="1"/>
        <v>18585</v>
      </c>
    </row>
    <row r="19" spans="1:16" x14ac:dyDescent="0.25">
      <c r="A19" s="5" t="s">
        <v>10</v>
      </c>
      <c r="B19" s="24">
        <v>4200000</v>
      </c>
      <c r="C19" s="24">
        <v>16610000</v>
      </c>
      <c r="D19" s="24">
        <v>2686800</v>
      </c>
      <c r="E19" s="24">
        <v>1180200</v>
      </c>
      <c r="F19" s="24">
        <v>2909800</v>
      </c>
      <c r="G19" s="24">
        <f>879200+198000</f>
        <v>1077200</v>
      </c>
      <c r="H19" s="24">
        <v>0</v>
      </c>
      <c r="I19" s="24">
        <v>0</v>
      </c>
      <c r="J19" s="24">
        <v>2028795</v>
      </c>
      <c r="K19" s="24">
        <v>0</v>
      </c>
      <c r="L19" s="24">
        <v>157200</v>
      </c>
      <c r="M19" s="24">
        <v>57600</v>
      </c>
      <c r="N19" s="24">
        <v>0</v>
      </c>
      <c r="O19" s="24">
        <v>0</v>
      </c>
      <c r="P19" s="24">
        <f t="shared" si="1"/>
        <v>10097595</v>
      </c>
    </row>
    <row r="20" spans="1:16" x14ac:dyDescent="0.25">
      <c r="A20" s="5" t="s">
        <v>11</v>
      </c>
      <c r="B20" s="24">
        <v>2720000</v>
      </c>
      <c r="C20" s="24">
        <v>2850000</v>
      </c>
      <c r="D20" s="24">
        <v>0</v>
      </c>
      <c r="E20" s="24">
        <v>0</v>
      </c>
      <c r="F20" s="24">
        <v>0</v>
      </c>
      <c r="G20" s="24">
        <v>13000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13000</v>
      </c>
    </row>
    <row r="21" spans="1:16" x14ac:dyDescent="0.25">
      <c r="A21" s="5" t="s">
        <v>12</v>
      </c>
      <c r="B21" s="24">
        <v>22629000</v>
      </c>
      <c r="C21" s="24">
        <v>21050000</v>
      </c>
      <c r="D21" s="24">
        <v>1346926.08</v>
      </c>
      <c r="E21" s="24">
        <v>217739.5</v>
      </c>
      <c r="F21" s="24">
        <f>2205964.26+76517.1</f>
        <v>2282481.36</v>
      </c>
      <c r="G21" s="24">
        <v>1670527.88</v>
      </c>
      <c r="H21" s="24">
        <f>1320277.21+357549.12</f>
        <v>1677826.33</v>
      </c>
      <c r="I21" s="24">
        <v>2950844.98</v>
      </c>
      <c r="J21" s="24">
        <f>1320514.55+111850.43</f>
        <v>1432364.98</v>
      </c>
      <c r="K21" s="24">
        <v>2307019.81</v>
      </c>
      <c r="L21" s="24">
        <v>2634129.5499999998</v>
      </c>
      <c r="M21" s="24">
        <v>1405002.55</v>
      </c>
      <c r="N21" s="24">
        <v>0</v>
      </c>
      <c r="O21" s="24">
        <v>0</v>
      </c>
      <c r="P21" s="24">
        <f t="shared" si="1"/>
        <v>17924863.020000003</v>
      </c>
    </row>
    <row r="22" spans="1:16" x14ac:dyDescent="0.25">
      <c r="A22" s="5" t="s">
        <v>13</v>
      </c>
      <c r="B22" s="24">
        <v>13300000</v>
      </c>
      <c r="C22" s="24">
        <v>13070830</v>
      </c>
      <c r="D22" s="24">
        <v>0</v>
      </c>
      <c r="E22" s="24">
        <v>588468.36</v>
      </c>
      <c r="F22" s="24">
        <v>978800.4</v>
      </c>
      <c r="G22" s="24">
        <f>347489.18+1056336.4</f>
        <v>1403825.5799999998</v>
      </c>
      <c r="H22" s="24">
        <f>1047626.59+289347.5</f>
        <v>1336974.0899999999</v>
      </c>
      <c r="I22" s="24">
        <v>1105871.75</v>
      </c>
      <c r="J22" s="24">
        <v>1071583.1000000001</v>
      </c>
      <c r="K22" s="24">
        <v>1523758.37</v>
      </c>
      <c r="L22" s="24">
        <v>1475442.64</v>
      </c>
      <c r="M22" s="24">
        <v>1252702.54</v>
      </c>
      <c r="N22" s="24">
        <v>0</v>
      </c>
      <c r="O22" s="24">
        <v>0</v>
      </c>
      <c r="P22" s="24">
        <f t="shared" si="1"/>
        <v>10737426.829999998</v>
      </c>
    </row>
    <row r="23" spans="1:16" ht="30" x14ac:dyDescent="0.25">
      <c r="A23" s="29" t="s">
        <v>14</v>
      </c>
      <c r="B23" s="24">
        <v>4900000</v>
      </c>
      <c r="C23" s="24">
        <v>4019500</v>
      </c>
      <c r="D23" s="24">
        <v>0</v>
      </c>
      <c r="E23" s="24">
        <f>49135.2+54566.66</f>
        <v>103701.86</v>
      </c>
      <c r="F23" s="24">
        <v>0</v>
      </c>
      <c r="G23" s="24">
        <v>308853.2</v>
      </c>
      <c r="H23" s="24">
        <v>10384</v>
      </c>
      <c r="I23" s="24">
        <v>818779.89</v>
      </c>
      <c r="J23" s="24">
        <v>57741.33</v>
      </c>
      <c r="K23" s="24">
        <v>57741.332999999999</v>
      </c>
      <c r="L23" s="24">
        <v>322297.33</v>
      </c>
      <c r="M23" s="24">
        <v>285599.33</v>
      </c>
      <c r="N23" s="24">
        <v>0</v>
      </c>
      <c r="O23" s="24">
        <v>0</v>
      </c>
      <c r="P23" s="24">
        <f t="shared" si="1"/>
        <v>1965098.2730000003</v>
      </c>
    </row>
    <row r="24" spans="1:16" ht="30" x14ac:dyDescent="0.25">
      <c r="A24" s="29" t="s">
        <v>15</v>
      </c>
      <c r="B24" s="24">
        <v>3896849</v>
      </c>
      <c r="C24" s="24">
        <v>4665849</v>
      </c>
      <c r="D24" s="24">
        <v>0</v>
      </c>
      <c r="E24" s="24">
        <v>26786</v>
      </c>
      <c r="F24" s="24">
        <v>66000</v>
      </c>
      <c r="G24" s="24">
        <v>708000</v>
      </c>
      <c r="H24" s="24">
        <v>4602</v>
      </c>
      <c r="I24" s="24">
        <v>321508</v>
      </c>
      <c r="J24" s="24">
        <v>8614</v>
      </c>
      <c r="K24" s="24">
        <v>125230</v>
      </c>
      <c r="L24" s="24">
        <v>30962.26</v>
      </c>
      <c r="M24" s="24">
        <v>812728.14</v>
      </c>
      <c r="N24" s="24">
        <v>0</v>
      </c>
      <c r="O24" s="24">
        <v>0</v>
      </c>
      <c r="P24" s="24">
        <f t="shared" si="1"/>
        <v>2104430.4</v>
      </c>
    </row>
    <row r="25" spans="1:16" x14ac:dyDescent="0.25">
      <c r="A25" s="5" t="s">
        <v>16</v>
      </c>
      <c r="B25" s="24">
        <v>2900000</v>
      </c>
      <c r="C25" s="24">
        <v>4011000</v>
      </c>
      <c r="D25" s="24">
        <v>281804.7</v>
      </c>
      <c r="E25" s="24">
        <f>68819.96+9770.4</f>
        <v>78590.36</v>
      </c>
      <c r="F25" s="24">
        <v>261777.52</v>
      </c>
      <c r="G25" s="24">
        <f>157258.6+58191.7</f>
        <v>215450.3</v>
      </c>
      <c r="H25" s="24">
        <v>180540</v>
      </c>
      <c r="I25" s="24">
        <v>355875.57</v>
      </c>
      <c r="J25" s="24">
        <f>233694.97+98294</f>
        <v>331988.96999999997</v>
      </c>
      <c r="K25" s="24">
        <v>250899.96</v>
      </c>
      <c r="L25" s="24">
        <v>213773.98</v>
      </c>
      <c r="M25" s="24">
        <v>0</v>
      </c>
      <c r="N25" s="24">
        <v>0</v>
      </c>
      <c r="O25" s="24">
        <v>0</v>
      </c>
      <c r="P25" s="24">
        <f t="shared" si="1"/>
        <v>2170701.36</v>
      </c>
    </row>
    <row r="26" spans="1:16" x14ac:dyDescent="0.25">
      <c r="A26" s="3" t="s">
        <v>17</v>
      </c>
      <c r="B26" s="25">
        <f>B27+B28+B29+B30+B31+B32+B33+B35</f>
        <v>15617678</v>
      </c>
      <c r="C26" s="25">
        <f>C27+C28+C29+C30+C31+C32+C33+C35</f>
        <v>16741348</v>
      </c>
      <c r="D26" s="25">
        <f t="shared" ref="D26:P26" si="4">D27+D28+D29+D30+D31+D32+D33+D35</f>
        <v>715604</v>
      </c>
      <c r="E26" s="25">
        <f t="shared" si="4"/>
        <v>2060669.4</v>
      </c>
      <c r="F26" s="25">
        <f t="shared" si="4"/>
        <v>195375.4</v>
      </c>
      <c r="G26" s="25">
        <f t="shared" si="4"/>
        <v>1282432.8799999999</v>
      </c>
      <c r="H26" s="25">
        <f t="shared" si="4"/>
        <v>1063414.23</v>
      </c>
      <c r="I26" s="25">
        <f t="shared" si="4"/>
        <v>2451261.69</v>
      </c>
      <c r="J26" s="25">
        <f t="shared" si="4"/>
        <v>955916.6</v>
      </c>
      <c r="K26" s="25">
        <f t="shared" si="4"/>
        <v>1020059.72</v>
      </c>
      <c r="L26" s="25">
        <f t="shared" si="4"/>
        <v>1033769.2100000001</v>
      </c>
      <c r="M26" s="25">
        <f t="shared" si="4"/>
        <v>86918</v>
      </c>
      <c r="N26" s="25">
        <f t="shared" si="4"/>
        <v>0</v>
      </c>
      <c r="O26" s="25">
        <f t="shared" si="4"/>
        <v>0</v>
      </c>
      <c r="P26" s="25">
        <f t="shared" si="4"/>
        <v>10865421.130000001</v>
      </c>
    </row>
    <row r="27" spans="1:16" x14ac:dyDescent="0.25">
      <c r="A27" s="29" t="s">
        <v>18</v>
      </c>
      <c r="B27" s="24">
        <v>665000</v>
      </c>
      <c r="C27" s="24">
        <v>901300</v>
      </c>
      <c r="D27" s="24">
        <v>0</v>
      </c>
      <c r="E27" s="24">
        <f>10570+25623.2</f>
        <v>36193.199999999997</v>
      </c>
      <c r="F27" s="24">
        <v>11260</v>
      </c>
      <c r="G27" s="24">
        <v>97335.29</v>
      </c>
      <c r="H27" s="24">
        <f>8260+99125.66</f>
        <v>107385.66</v>
      </c>
      <c r="I27" s="24">
        <v>24523.599999999999</v>
      </c>
      <c r="J27" s="24">
        <f>12880+15422.6</f>
        <v>28302.6</v>
      </c>
      <c r="K27" s="24">
        <v>15889</v>
      </c>
      <c r="L27" s="24">
        <v>104911.63</v>
      </c>
      <c r="M27" s="24">
        <v>20700</v>
      </c>
      <c r="N27" s="24">
        <v>0</v>
      </c>
      <c r="O27" s="24">
        <v>0</v>
      </c>
      <c r="P27" s="24">
        <f t="shared" ref="P27:P34" si="5">SUM(D27:O27)</f>
        <v>446500.98</v>
      </c>
    </row>
    <row r="28" spans="1:16" x14ac:dyDescent="0.25">
      <c r="A28" s="29" t="s">
        <v>19</v>
      </c>
      <c r="B28" s="24">
        <v>448000</v>
      </c>
      <c r="C28" s="24">
        <v>366600</v>
      </c>
      <c r="D28" s="24">
        <v>0</v>
      </c>
      <c r="E28" s="24">
        <v>0</v>
      </c>
      <c r="F28" s="24">
        <v>184115.4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5"/>
        <v>184115.4</v>
      </c>
    </row>
    <row r="29" spans="1:16" x14ac:dyDescent="0.25">
      <c r="A29" s="29" t="s">
        <v>20</v>
      </c>
      <c r="B29" s="24">
        <v>675000</v>
      </c>
      <c r="C29" s="24">
        <v>480000</v>
      </c>
      <c r="D29" s="24">
        <v>0</v>
      </c>
      <c r="E29" s="24">
        <v>0</v>
      </c>
      <c r="F29" s="24">
        <v>0</v>
      </c>
      <c r="G29" s="24">
        <f>58882+159770.21</f>
        <v>218652.21</v>
      </c>
      <c r="H29" s="24">
        <v>0</v>
      </c>
      <c r="I29" s="24">
        <v>3450</v>
      </c>
      <c r="J29" s="24">
        <v>0</v>
      </c>
      <c r="K29" s="24">
        <v>0</v>
      </c>
      <c r="L29" s="24">
        <v>113006.38</v>
      </c>
      <c r="M29" s="24">
        <v>60294.28</v>
      </c>
      <c r="N29" s="24">
        <v>0</v>
      </c>
      <c r="O29" s="24">
        <v>0</v>
      </c>
      <c r="P29" s="24">
        <f t="shared" si="5"/>
        <v>395402.87</v>
      </c>
    </row>
    <row r="30" spans="1:16" x14ac:dyDescent="0.25">
      <c r="A30" s="29" t="s">
        <v>21</v>
      </c>
      <c r="B30" s="24">
        <v>10000</v>
      </c>
      <c r="C30" s="24">
        <v>4000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0</v>
      </c>
    </row>
    <row r="31" spans="1:16" x14ac:dyDescent="0.25">
      <c r="A31" s="29" t="s">
        <v>22</v>
      </c>
      <c r="B31" s="24">
        <v>700000</v>
      </c>
      <c r="C31" s="24">
        <v>563400</v>
      </c>
      <c r="D31" s="24">
        <v>0</v>
      </c>
      <c r="E31" s="24">
        <v>0</v>
      </c>
      <c r="F31" s="24">
        <v>0</v>
      </c>
      <c r="G31" s="24">
        <v>198633.65</v>
      </c>
      <c r="H31" s="24">
        <v>0</v>
      </c>
      <c r="I31" s="24">
        <v>0</v>
      </c>
      <c r="J31" s="24">
        <v>0</v>
      </c>
      <c r="K31" s="24">
        <v>134921.20000000001</v>
      </c>
      <c r="L31" s="24">
        <v>68149.16</v>
      </c>
      <c r="M31" s="24">
        <v>0</v>
      </c>
      <c r="N31" s="24">
        <v>0</v>
      </c>
      <c r="O31" s="24">
        <v>0</v>
      </c>
      <c r="P31" s="24">
        <f t="shared" si="5"/>
        <v>401704.01</v>
      </c>
    </row>
    <row r="32" spans="1:16" ht="30" x14ac:dyDescent="0.25">
      <c r="A32" s="29" t="s">
        <v>23</v>
      </c>
      <c r="B32" s="24">
        <v>119678</v>
      </c>
      <c r="C32" s="24">
        <v>474678</v>
      </c>
      <c r="D32" s="24">
        <v>0</v>
      </c>
      <c r="E32" s="24">
        <v>0</v>
      </c>
      <c r="F32" s="24">
        <v>0</v>
      </c>
      <c r="G32" s="24">
        <v>0</v>
      </c>
      <c r="H32" s="24">
        <v>3457.86</v>
      </c>
      <c r="I32" s="24">
        <v>908.6</v>
      </c>
      <c r="J32" s="24">
        <v>205320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209686.46</v>
      </c>
    </row>
    <row r="33" spans="1:16" ht="30" x14ac:dyDescent="0.25">
      <c r="A33" s="29" t="s">
        <v>24</v>
      </c>
      <c r="B33" s="24">
        <v>11100000</v>
      </c>
      <c r="C33" s="24">
        <v>11397200</v>
      </c>
      <c r="D33" s="24">
        <v>715604</v>
      </c>
      <c r="E33" s="24">
        <v>1907604</v>
      </c>
      <c r="F33" s="24">
        <v>0</v>
      </c>
      <c r="G33" s="24">
        <v>686600</v>
      </c>
      <c r="H33" s="24">
        <v>698600</v>
      </c>
      <c r="I33" s="24">
        <v>2011533.98</v>
      </c>
      <c r="J33" s="24">
        <f>705500+16794</f>
        <v>722294</v>
      </c>
      <c r="K33" s="24">
        <v>702500</v>
      </c>
      <c r="L33" s="24">
        <v>681804</v>
      </c>
      <c r="M33" s="24">
        <v>0</v>
      </c>
      <c r="N33" s="24">
        <v>0</v>
      </c>
      <c r="O33" s="24">
        <v>0</v>
      </c>
      <c r="P33" s="24">
        <f t="shared" si="5"/>
        <v>8126539.9800000004</v>
      </c>
    </row>
    <row r="34" spans="1:16" ht="30" x14ac:dyDescent="0.25">
      <c r="A34" s="29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0</v>
      </c>
    </row>
    <row r="35" spans="1:16" x14ac:dyDescent="0.25">
      <c r="A35" s="29" t="s">
        <v>26</v>
      </c>
      <c r="B35" s="24">
        <v>1900000</v>
      </c>
      <c r="C35" s="24">
        <v>2554170</v>
      </c>
      <c r="D35" s="24">
        <v>0</v>
      </c>
      <c r="E35" s="24">
        <f>23610.9+93261.3</f>
        <v>116872.20000000001</v>
      </c>
      <c r="F35" s="24">
        <v>0</v>
      </c>
      <c r="G35" s="24">
        <f>61505.73+19706</f>
        <v>81211.73000000001</v>
      </c>
      <c r="H35" s="24">
        <f>65466.4+11151+13715.99+163637.32</f>
        <v>253970.71000000002</v>
      </c>
      <c r="I35" s="24">
        <v>410845.51</v>
      </c>
      <c r="J35" s="24">
        <v>0</v>
      </c>
      <c r="K35" s="24">
        <v>166749.51999999999</v>
      </c>
      <c r="L35" s="24">
        <v>65898.039999999994</v>
      </c>
      <c r="M35" s="24">
        <v>5923.72</v>
      </c>
      <c r="N35" s="24">
        <v>0</v>
      </c>
      <c r="O35" s="24">
        <v>0</v>
      </c>
      <c r="P35" s="24">
        <f>SUM(D35:O35)</f>
        <v>1101471.43</v>
      </c>
    </row>
    <row r="36" spans="1:16" x14ac:dyDescent="0.25">
      <c r="A36" s="3" t="s">
        <v>27</v>
      </c>
      <c r="B36" s="25">
        <f>B37</f>
        <v>50000</v>
      </c>
      <c r="C36" s="25">
        <f>C37</f>
        <v>50000</v>
      </c>
      <c r="D36" s="25">
        <f t="shared" ref="D36:P36" si="6">D37</f>
        <v>0</v>
      </c>
      <c r="E36" s="25">
        <f t="shared" si="6"/>
        <v>0</v>
      </c>
      <c r="F36" s="25">
        <f t="shared" si="6"/>
        <v>24000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  <c r="O36" s="25">
        <f t="shared" si="6"/>
        <v>0</v>
      </c>
      <c r="P36" s="25">
        <f t="shared" si="6"/>
        <v>24000</v>
      </c>
    </row>
    <row r="37" spans="1:16" ht="30" x14ac:dyDescent="0.25">
      <c r="A37" s="29" t="s">
        <v>28</v>
      </c>
      <c r="B37" s="24">
        <v>50000</v>
      </c>
      <c r="C37" s="24">
        <v>50000</v>
      </c>
      <c r="D37" s="24">
        <v>0</v>
      </c>
      <c r="E37" s="24">
        <v>0</v>
      </c>
      <c r="F37" s="24">
        <v>24000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24000</v>
      </c>
    </row>
    <row r="38" spans="1:16" ht="30" x14ac:dyDescent="0.25">
      <c r="A38" s="29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30" x14ac:dyDescent="0.25">
      <c r="A39" s="29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29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 x14ac:dyDescent="0.25">
      <c r="A43" s="29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30" x14ac:dyDescent="0.25">
      <c r="A44" s="29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3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ht="30" x14ac:dyDescent="0.25">
      <c r="A46" s="29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 x14ac:dyDescent="0.25">
      <c r="A47" s="29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3" t="s">
        <v>43</v>
      </c>
      <c r="B52" s="25">
        <f>B53+B56+B57</f>
        <v>3000000</v>
      </c>
      <c r="C52" s="25">
        <f>C53+C56+C57+C54+C60</f>
        <v>3000000</v>
      </c>
      <c r="D52" s="25">
        <f>D53+D56+D57</f>
        <v>0</v>
      </c>
      <c r="E52" s="25">
        <f>E53+E56+E57</f>
        <v>0</v>
      </c>
      <c r="F52" s="25">
        <f>F53+F56+F57</f>
        <v>0</v>
      </c>
      <c r="G52" s="25">
        <f>G53+G56+G57</f>
        <v>0</v>
      </c>
      <c r="H52" s="25">
        <f>H54+H53</f>
        <v>94532.61</v>
      </c>
      <c r="I52" s="25">
        <f t="shared" ref="I52:N52" si="7">I53+I56+I57</f>
        <v>40374.540000000008</v>
      </c>
      <c r="J52" s="25">
        <f t="shared" si="7"/>
        <v>0</v>
      </c>
      <c r="K52" s="25">
        <f t="shared" si="7"/>
        <v>125731.61</v>
      </c>
      <c r="L52" s="25">
        <f>L53+L56+L57+L54</f>
        <v>110936.52</v>
      </c>
      <c r="M52" s="25">
        <f t="shared" si="7"/>
        <v>95748.01</v>
      </c>
      <c r="N52" s="25">
        <f t="shared" si="7"/>
        <v>0</v>
      </c>
      <c r="O52" s="25">
        <f>O53+O56+O57+O54</f>
        <v>0</v>
      </c>
      <c r="P52" s="25">
        <f>SUM(D52:O52)</f>
        <v>467323.29000000004</v>
      </c>
    </row>
    <row r="53" spans="1:16" x14ac:dyDescent="0.25">
      <c r="A53" s="29" t="s">
        <v>44</v>
      </c>
      <c r="B53" s="24">
        <v>1900000</v>
      </c>
      <c r="C53" s="24">
        <v>2335000</v>
      </c>
      <c r="D53" s="24">
        <v>0</v>
      </c>
      <c r="E53" s="24">
        <v>0</v>
      </c>
      <c r="F53" s="24">
        <v>0</v>
      </c>
      <c r="G53" s="24">
        <v>0</v>
      </c>
      <c r="H53" s="24">
        <f>52906+32726.61</f>
        <v>85632.61</v>
      </c>
      <c r="I53" s="24">
        <v>8685</v>
      </c>
      <c r="J53" s="24">
        <v>0</v>
      </c>
      <c r="K53" s="24">
        <v>125731.61</v>
      </c>
      <c r="L53" s="24">
        <v>0</v>
      </c>
      <c r="M53" s="24">
        <v>95748.01</v>
      </c>
      <c r="N53" s="24"/>
      <c r="O53" s="24"/>
      <c r="P53" s="24">
        <f>SUM(D53:O53)</f>
        <v>315797.23</v>
      </c>
    </row>
    <row r="54" spans="1:16" ht="45" x14ac:dyDescent="0.25">
      <c r="A54" s="29" t="s">
        <v>45</v>
      </c>
      <c r="B54" s="24">
        <v>0</v>
      </c>
      <c r="C54" s="24">
        <v>178000</v>
      </c>
      <c r="D54" s="24">
        <v>0</v>
      </c>
      <c r="E54" s="24">
        <v>0</v>
      </c>
      <c r="F54" s="24">
        <v>0</v>
      </c>
      <c r="G54" s="24">
        <v>0</v>
      </c>
      <c r="H54" s="24">
        <v>8900</v>
      </c>
      <c r="I54" s="24">
        <v>0</v>
      </c>
      <c r="J54" s="24">
        <v>0</v>
      </c>
      <c r="K54" s="24">
        <v>0</v>
      </c>
      <c r="L54" s="24">
        <v>110936.52</v>
      </c>
      <c r="M54" s="24">
        <v>0</v>
      </c>
      <c r="N54" s="24">
        <v>0</v>
      </c>
      <c r="O54" s="24">
        <v>0</v>
      </c>
      <c r="P54" s="24">
        <f>SUM(D54:O54)</f>
        <v>119836.52</v>
      </c>
    </row>
    <row r="55" spans="1:16" ht="30" x14ac:dyDescent="0.25">
      <c r="A55" s="29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8">SUM(D55:O55)</f>
        <v>0</v>
      </c>
    </row>
    <row r="56" spans="1:16" ht="30" x14ac:dyDescent="0.25">
      <c r="A56" s="29" t="s">
        <v>47</v>
      </c>
      <c r="B56" s="24">
        <v>0</v>
      </c>
      <c r="C56" s="24">
        <v>27000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26397.24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8"/>
        <v>26397.24</v>
      </c>
    </row>
    <row r="57" spans="1:16" ht="30" x14ac:dyDescent="0.25">
      <c r="A57" s="29" t="s">
        <v>48</v>
      </c>
      <c r="B57" s="24">
        <v>1100000</v>
      </c>
      <c r="C57" s="24">
        <v>410000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5292.3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/>
      <c r="P57" s="24">
        <f t="shared" si="8"/>
        <v>5292.3</v>
      </c>
    </row>
    <row r="58" spans="1:16" x14ac:dyDescent="0.25">
      <c r="A58" s="29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29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29" t="s">
        <v>51</v>
      </c>
      <c r="B60" s="24">
        <v>0</v>
      </c>
      <c r="C60" s="24">
        <v>50000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ht="30" x14ac:dyDescent="0.25">
      <c r="A61" s="29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3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x14ac:dyDescent="0.25">
      <c r="A63" s="29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29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ht="30" x14ac:dyDescent="0.25">
      <c r="A65" s="29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45" x14ac:dyDescent="0.25">
      <c r="A66" s="29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3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29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ht="30" x14ac:dyDescent="0.25">
      <c r="A69" s="29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3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ht="30" x14ac:dyDescent="0.25">
      <c r="A71" s="29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ht="30" x14ac:dyDescent="0.25">
      <c r="A72" s="29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ht="30" x14ac:dyDescent="0.25">
      <c r="A73" s="29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1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3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ht="30" x14ac:dyDescent="0.25">
      <c r="A76" s="29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ht="30" x14ac:dyDescent="0.25">
      <c r="A77" s="29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3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ht="30" x14ac:dyDescent="0.25">
      <c r="A79" s="29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ht="30" x14ac:dyDescent="0.25">
      <c r="A80" s="29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ht="30" x14ac:dyDescent="0.25">
      <c r="A82" s="29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9" t="s">
        <v>65</v>
      </c>
      <c r="B83" s="28">
        <f>B52+B36+B26+B16+B10</f>
        <v>317021740</v>
      </c>
      <c r="C83" s="28">
        <f>C52+C36+C26+C16+C10</f>
        <v>331531740</v>
      </c>
      <c r="D83" s="28">
        <f t="shared" ref="D83:P83" si="9">D52+D36+D26+D16+D10</f>
        <v>21633205.310000002</v>
      </c>
      <c r="E83" s="28">
        <f t="shared" si="9"/>
        <v>20824345.340000004</v>
      </c>
      <c r="F83" s="28">
        <f t="shared" si="9"/>
        <v>24539426.48</v>
      </c>
      <c r="G83" s="28">
        <f t="shared" si="9"/>
        <v>23461468.329999998</v>
      </c>
      <c r="H83" s="28">
        <f t="shared" si="9"/>
        <v>33047756.050000001</v>
      </c>
      <c r="I83" s="28">
        <f t="shared" si="9"/>
        <v>25202494.369999997</v>
      </c>
      <c r="J83" s="28">
        <f t="shared" si="9"/>
        <v>22860437.009999998</v>
      </c>
      <c r="K83" s="28">
        <f t="shared" si="9"/>
        <v>22657354.092999998</v>
      </c>
      <c r="L83" s="28">
        <f t="shared" si="9"/>
        <v>22694397.009999998</v>
      </c>
      <c r="M83" s="28">
        <f t="shared" si="9"/>
        <v>34566439.890000001</v>
      </c>
      <c r="N83" s="28">
        <f t="shared" si="9"/>
        <v>0</v>
      </c>
      <c r="O83" s="28">
        <f t="shared" si="9"/>
        <v>0</v>
      </c>
      <c r="P83" s="28">
        <f t="shared" si="9"/>
        <v>251487323.88300002</v>
      </c>
    </row>
    <row r="84" spans="1:16" x14ac:dyDescent="0.25">
      <c r="A84" s="37" t="s">
        <v>112</v>
      </c>
    </row>
    <row r="86" spans="1:16" ht="16.5" customHeight="1" x14ac:dyDescent="0.25"/>
    <row r="87" spans="1:16" ht="18.75" x14ac:dyDescent="0.3">
      <c r="A87" s="31"/>
      <c r="B87" s="31" t="s">
        <v>101</v>
      </c>
      <c r="C87" s="30"/>
      <c r="D87" s="30"/>
      <c r="E87" s="30"/>
      <c r="F87" s="31" t="s">
        <v>102</v>
      </c>
      <c r="H87" s="32"/>
      <c r="J87" s="33"/>
      <c r="K87" s="30"/>
    </row>
    <row r="88" spans="1:16" ht="18.75" x14ac:dyDescent="0.3">
      <c r="A88" s="34"/>
      <c r="B88" s="34" t="s">
        <v>103</v>
      </c>
      <c r="C88" s="32"/>
      <c r="D88" s="30"/>
      <c r="E88" s="30"/>
      <c r="F88" s="34" t="s">
        <v>103</v>
      </c>
      <c r="H88" s="34"/>
      <c r="I88" s="30"/>
      <c r="J88" s="30"/>
      <c r="K88" s="30"/>
    </row>
    <row r="89" spans="1:16" ht="18.75" x14ac:dyDescent="0.3">
      <c r="A89" s="32"/>
      <c r="B89" s="32" t="s">
        <v>104</v>
      </c>
      <c r="C89" s="32"/>
      <c r="D89" s="30"/>
      <c r="E89" s="30"/>
      <c r="F89" s="32" t="s">
        <v>105</v>
      </c>
      <c r="G89" s="46" t="s">
        <v>107</v>
      </c>
      <c r="H89" s="46"/>
      <c r="I89" s="46"/>
      <c r="J89" s="46"/>
      <c r="K89" s="30"/>
    </row>
    <row r="90" spans="1:16" s="54" customFormat="1" ht="18.75" x14ac:dyDescent="0.3">
      <c r="A90" s="31"/>
      <c r="B90" s="31" t="s">
        <v>106</v>
      </c>
      <c r="C90" s="31"/>
      <c r="D90" s="30"/>
      <c r="E90" s="30"/>
      <c r="F90" s="31" t="s">
        <v>108</v>
      </c>
      <c r="H90" s="31"/>
      <c r="I90" s="30"/>
      <c r="J90" s="30"/>
      <c r="K90" s="30"/>
    </row>
    <row r="91" spans="1:16" ht="18.75" x14ac:dyDescent="0.3">
      <c r="D91" s="30"/>
      <c r="E91" s="30"/>
      <c r="F91" s="30"/>
      <c r="H91" s="30"/>
      <c r="I91" s="30"/>
      <c r="J91" s="30"/>
      <c r="K91" s="30"/>
    </row>
    <row r="92" spans="1:16" ht="18.75" x14ac:dyDescent="0.25">
      <c r="B92" s="32"/>
    </row>
  </sheetData>
  <mergeCells count="10">
    <mergeCell ref="G89:J89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.11811023622047245" right="0.11811023622047245" top="0.19685039370078741" bottom="0.15748031496062992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71" zoomScaleNormal="100" workbookViewId="0">
      <selection activeCell="L90" sqref="L90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0" t="s">
        <v>111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1" customHeight="1" x14ac:dyDescent="0.25">
      <c r="A3" s="52" t="s">
        <v>100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15.75" x14ac:dyDescent="0.25">
      <c r="A4" s="44">
        <v>2024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14490865.289999999</v>
      </c>
      <c r="F10" s="25">
        <f t="shared" si="0"/>
        <v>26405869.960000001</v>
      </c>
      <c r="G10" s="25">
        <f t="shared" si="0"/>
        <v>14862186.59</v>
      </c>
      <c r="H10" s="25">
        <f t="shared" si="0"/>
        <v>14790923.1</v>
      </c>
      <c r="I10" s="25">
        <f>I11+I12+I15</f>
        <v>14902826.799999999</v>
      </c>
      <c r="J10" s="25">
        <f t="shared" si="0"/>
        <v>14468897.75</v>
      </c>
      <c r="K10" s="25">
        <f t="shared" si="0"/>
        <v>28762097.879999999</v>
      </c>
      <c r="L10" s="25">
        <f t="shared" si="0"/>
        <v>0</v>
      </c>
      <c r="M10" s="25">
        <f t="shared" si="0"/>
        <v>0</v>
      </c>
      <c r="N10" s="25">
        <f>SUM(B10:M10)</f>
        <v>172848539.25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24314245.59</v>
      </c>
      <c r="G11" s="24">
        <f>11954420.44+490000+57750+179453.16</f>
        <v>12681623.6</v>
      </c>
      <c r="H11" s="24">
        <v>12593683.199999999</v>
      </c>
      <c r="I11" s="24">
        <v>12717348.529999999</v>
      </c>
      <c r="J11" s="24">
        <v>12326589.609999999</v>
      </c>
      <c r="K11" s="24">
        <f>12191064.61+67000+80011.66+1736224+352369.17</f>
        <v>14426669.439999999</v>
      </c>
      <c r="L11" s="24">
        <v>0</v>
      </c>
      <c r="M11" s="24">
        <v>0</v>
      </c>
      <c r="N11" s="24">
        <f>SUM(B11:M11)</f>
        <v>139151371.71000001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308500</v>
      </c>
      <c r="G12" s="24">
        <v>308500</v>
      </c>
      <c r="H12" s="24">
        <v>333500</v>
      </c>
      <c r="I12" s="24">
        <v>333500</v>
      </c>
      <c r="J12" s="24">
        <v>288500</v>
      </c>
      <c r="K12" s="24">
        <f>313700+12178699.27</f>
        <v>12492399.27</v>
      </c>
      <c r="L12" s="24">
        <v>0</v>
      </c>
      <c r="M12" s="24">
        <v>0</v>
      </c>
      <c r="N12" s="24">
        <f>SUM(B12:M12)</f>
        <v>15398899.27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1783124.37</v>
      </c>
      <c r="G15" s="24">
        <f>876469.07+883553.85+112040.07</f>
        <v>1872062.99</v>
      </c>
      <c r="H15" s="24">
        <v>1863739.9</v>
      </c>
      <c r="I15" s="24">
        <v>1851978.27</v>
      </c>
      <c r="J15" s="24">
        <v>1853808.14</v>
      </c>
      <c r="K15" s="24">
        <f>862192.95+870322.58+110513.64</f>
        <v>1843029.1699999997</v>
      </c>
      <c r="L15" s="24">
        <v>0</v>
      </c>
      <c r="M15" s="24">
        <v>0</v>
      </c>
      <c r="N15" s="24">
        <f>SUM(B15:M15)</f>
        <v>18298268.27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6620670.3200000003</v>
      </c>
      <c r="C16" s="25">
        <f t="shared" si="1"/>
        <v>4391463.0600000005</v>
      </c>
      <c r="D16" s="25">
        <f t="shared" si="1"/>
        <v>8824323.0700000003</v>
      </c>
      <c r="E16" s="25">
        <f t="shared" si="1"/>
        <v>7688170.1600000001</v>
      </c>
      <c r="F16" s="25">
        <f t="shared" si="1"/>
        <v>5483939.25</v>
      </c>
      <c r="G16" s="25">
        <f>G17+G18+G19+G20+G21+G22+G23+G24+G25</f>
        <v>7848671.5499999998</v>
      </c>
      <c r="H16" s="25">
        <f t="shared" si="1"/>
        <v>7113597.3099999996</v>
      </c>
      <c r="I16" s="25">
        <f t="shared" si="1"/>
        <v>6608735.9600000009</v>
      </c>
      <c r="J16" s="25">
        <f>J17+J18+J19+J20+J21+J22+J23+J24+J25</f>
        <v>7080793.5300000003</v>
      </c>
      <c r="K16" s="25">
        <f t="shared" ref="K16" si="2">K17+K18+K19+K20+K21+K22+K23+K24</f>
        <v>5621676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67282040.209999993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f>474796.68+207121.11+993058.71+598636.33</f>
        <v>2273612.83</v>
      </c>
      <c r="G17" s="24">
        <f>476705.04+203644.1+993567.39+621874.83</f>
        <v>2295791.36</v>
      </c>
      <c r="H17" s="24">
        <v>2182509.9300000002</v>
      </c>
      <c r="I17" s="24">
        <v>2344086.4900000002</v>
      </c>
      <c r="J17" s="24">
        <v>2228402.77</v>
      </c>
      <c r="K17" s="24">
        <f>42884.77+173908.96+940070.66+651179.05</f>
        <v>1808043.4400000002</v>
      </c>
      <c r="L17" s="24">
        <v>0</v>
      </c>
      <c r="M17" s="24">
        <v>0</v>
      </c>
      <c r="N17" s="24">
        <f>SUM(B17:M17)</f>
        <v>22250340.329999998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18585</v>
      </c>
      <c r="K18" s="24">
        <v>0</v>
      </c>
      <c r="L18" s="24">
        <v>0</v>
      </c>
      <c r="M18" s="24">
        <v>0</v>
      </c>
      <c r="N18" s="24">
        <f t="shared" ref="N18:N23" si="3">SUM(B18:M18)</f>
        <v>18585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2028795</v>
      </c>
      <c r="I19" s="24">
        <v>0</v>
      </c>
      <c r="J19" s="24">
        <v>157200</v>
      </c>
      <c r="K19" s="24">
        <v>57600</v>
      </c>
      <c r="L19" s="24">
        <v>0</v>
      </c>
      <c r="M19" s="24">
        <v>0</v>
      </c>
      <c r="N19" s="24">
        <f t="shared" si="3"/>
        <v>10097595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13000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1677826.33</v>
      </c>
      <c r="G21" s="24">
        <v>2950844.98</v>
      </c>
      <c r="H21" s="24">
        <v>1432364.98</v>
      </c>
      <c r="I21" s="24">
        <v>2307019.81</v>
      </c>
      <c r="J21" s="24">
        <v>2634129.5499999998</v>
      </c>
      <c r="K21" s="24">
        <f>1320514.55+84488</f>
        <v>1405002.55</v>
      </c>
      <c r="L21" s="24">
        <v>0</v>
      </c>
      <c r="M21" s="24">
        <v>0</v>
      </c>
      <c r="N21" s="24">
        <f t="shared" si="3"/>
        <v>16577936.940000001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1336974.0900000001</v>
      </c>
      <c r="G22" s="24">
        <v>1105871.75</v>
      </c>
      <c r="H22" s="24">
        <v>1071583.1000000001</v>
      </c>
      <c r="I22" s="24">
        <v>1523758.37</v>
      </c>
      <c r="J22" s="24">
        <v>1475442.64</v>
      </c>
      <c r="K22" s="24">
        <v>1252702.54</v>
      </c>
      <c r="L22" s="24">
        <v>0</v>
      </c>
      <c r="M22" s="24">
        <v>0</v>
      </c>
      <c r="N22" s="24">
        <f t="shared" si="3"/>
        <v>12084352.91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10384</v>
      </c>
      <c r="G23" s="24">
        <f>498555.9+164413.33+155810.66</f>
        <v>818779.89</v>
      </c>
      <c r="H23" s="24">
        <v>57741.33</v>
      </c>
      <c r="I23" s="24">
        <v>57741.33</v>
      </c>
      <c r="J23" s="24">
        <v>322297.33</v>
      </c>
      <c r="K23" s="24">
        <f>160952+83347.33+41300</f>
        <v>285599.33</v>
      </c>
      <c r="L23" s="24">
        <v>0</v>
      </c>
      <c r="M23" s="24">
        <v>0</v>
      </c>
      <c r="N23" s="24">
        <f t="shared" si="3"/>
        <v>1965098.2700000003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4602</v>
      </c>
      <c r="G24" s="24">
        <f>18408+303100</f>
        <v>321508</v>
      </c>
      <c r="H24" s="24">
        <v>8614</v>
      </c>
      <c r="I24" s="24">
        <v>125230</v>
      </c>
      <c r="J24" s="24">
        <v>30962.26</v>
      </c>
      <c r="K24" s="24">
        <v>812728.14</v>
      </c>
      <c r="L24" s="24">
        <v>0</v>
      </c>
      <c r="M24" s="24">
        <v>0</v>
      </c>
      <c r="N24" s="24">
        <f>SUM(B24:M24)</f>
        <v>2104430.4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180540</v>
      </c>
      <c r="G25" s="24">
        <f>15458+263339.97+77077.6</f>
        <v>355875.56999999995</v>
      </c>
      <c r="H25" s="24">
        <v>331988.96999999997</v>
      </c>
      <c r="I25" s="24">
        <v>250899.96</v>
      </c>
      <c r="J25" s="24">
        <v>213773.98</v>
      </c>
      <c r="K25" s="24">
        <v>0</v>
      </c>
      <c r="L25" s="24">
        <v>0</v>
      </c>
      <c r="M25" s="24">
        <v>0</v>
      </c>
      <c r="N25" s="24">
        <f>SUM(B25:M25)</f>
        <v>2170701.36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 t="shared" ref="F26:N26" si="4">F27+F28+F29+F30+F31+F32+F33+F35</f>
        <v>1063414.23</v>
      </c>
      <c r="G26" s="25">
        <f t="shared" si="4"/>
        <v>2451261.69</v>
      </c>
      <c r="H26" s="25">
        <f t="shared" si="4"/>
        <v>955916.6</v>
      </c>
      <c r="I26" s="25">
        <f t="shared" si="4"/>
        <v>1020059.72</v>
      </c>
      <c r="J26" s="25">
        <f t="shared" si="4"/>
        <v>1033769.2100000001</v>
      </c>
      <c r="K26" s="25">
        <f t="shared" si="4"/>
        <v>86918</v>
      </c>
      <c r="L26" s="25">
        <f t="shared" si="4"/>
        <v>0</v>
      </c>
      <c r="M26" s="25">
        <f t="shared" si="4"/>
        <v>0</v>
      </c>
      <c r="N26" s="25">
        <f t="shared" si="4"/>
        <v>10865421.130000001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107385.66</v>
      </c>
      <c r="G27" s="24">
        <f>11520+13003.6</f>
        <v>24523.599999999999</v>
      </c>
      <c r="H27" s="24">
        <v>28302.6</v>
      </c>
      <c r="I27" s="24">
        <v>15889</v>
      </c>
      <c r="J27" s="24">
        <v>104911.63</v>
      </c>
      <c r="K27" s="24">
        <v>20700</v>
      </c>
      <c r="L27" s="24">
        <v>0</v>
      </c>
      <c r="M27" s="24">
        <v>0</v>
      </c>
      <c r="N27" s="24">
        <f t="shared" ref="N27:N37" si="5">SUM(B27:M27)</f>
        <v>446500.98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3450</v>
      </c>
      <c r="H29" s="24">
        <v>0</v>
      </c>
      <c r="I29" s="24">
        <v>0</v>
      </c>
      <c r="J29" s="24">
        <v>113006.38</v>
      </c>
      <c r="K29" s="24">
        <f>52269.28+8025</f>
        <v>60294.28</v>
      </c>
      <c r="L29" s="24">
        <v>0</v>
      </c>
      <c r="M29" s="24">
        <v>0</v>
      </c>
      <c r="N29" s="24">
        <f t="shared" si="5"/>
        <v>395402.87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134921.20000000001</v>
      </c>
      <c r="J31" s="24">
        <v>68149.16</v>
      </c>
      <c r="K31" s="24">
        <v>0</v>
      </c>
      <c r="L31" s="24">
        <v>0</v>
      </c>
      <c r="M31" s="24">
        <v>0</v>
      </c>
      <c r="N31" s="24">
        <f t="shared" si="5"/>
        <v>401704.01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3457.86</v>
      </c>
      <c r="G32" s="24">
        <v>908.6</v>
      </c>
      <c r="H32" s="24">
        <v>205320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209686.46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698600</v>
      </c>
      <c r="G33" s="24">
        <f>1696600+196900+102494.8+15539.18</f>
        <v>2011533.98</v>
      </c>
      <c r="H33" s="24">
        <v>722294</v>
      </c>
      <c r="I33" s="24">
        <v>702500</v>
      </c>
      <c r="J33" s="24">
        <v>681804</v>
      </c>
      <c r="K33" s="24">
        <v>0</v>
      </c>
      <c r="L33" s="24">
        <v>0</v>
      </c>
      <c r="M33" s="24">
        <v>0</v>
      </c>
      <c r="N33" s="24">
        <f t="shared" si="5"/>
        <v>8126539.9800000004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253970.71</v>
      </c>
      <c r="G35" s="24">
        <f>66759.67+211591.35+98395.83+30798+3300.66</f>
        <v>410845.51</v>
      </c>
      <c r="H35" s="24">
        <v>0</v>
      </c>
      <c r="I35" s="24">
        <v>166749.51999999999</v>
      </c>
      <c r="J35" s="24">
        <v>65898.039999999994</v>
      </c>
      <c r="K35" s="24">
        <f>4153.72+1770</f>
        <v>5923.72</v>
      </c>
      <c r="L35" s="24">
        <v>0</v>
      </c>
      <c r="M35" s="24">
        <v>0</v>
      </c>
      <c r="N35" s="24">
        <f t="shared" si="5"/>
        <v>1101471.43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94532.61</v>
      </c>
      <c r="G52" s="25">
        <f>G54+G53+G56+G57</f>
        <v>40374.540000000008</v>
      </c>
      <c r="H52" s="25">
        <f>H53+H57</f>
        <v>0</v>
      </c>
      <c r="I52" s="25">
        <f>I53</f>
        <v>125731.61</v>
      </c>
      <c r="J52" s="25">
        <f>J53+J54</f>
        <v>110936.52</v>
      </c>
      <c r="K52" s="25">
        <f>K53</f>
        <v>95748.01</v>
      </c>
      <c r="L52" s="25">
        <f>L53</f>
        <v>0</v>
      </c>
      <c r="M52" s="25">
        <f>M53+M54+M57</f>
        <v>0</v>
      </c>
      <c r="N52" s="25">
        <f>SUM(B52:M52)</f>
        <v>467323.29000000004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85632.61</v>
      </c>
      <c r="G53" s="24">
        <v>8685</v>
      </c>
      <c r="H53" s="24">
        <v>0</v>
      </c>
      <c r="I53" s="24">
        <v>125731.61</v>
      </c>
      <c r="J53" s="24">
        <v>0</v>
      </c>
      <c r="K53" s="24">
        <v>95748.01</v>
      </c>
      <c r="L53" s="24">
        <v>0</v>
      </c>
      <c r="M53" s="24">
        <v>0</v>
      </c>
      <c r="N53" s="24">
        <f>SUM(B53:M53)</f>
        <v>315797.23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8900</v>
      </c>
      <c r="G54" s="24">
        <v>0</v>
      </c>
      <c r="H54" s="24">
        <v>0</v>
      </c>
      <c r="I54" s="24">
        <v>0</v>
      </c>
      <c r="J54" s="24">
        <v>110936.52</v>
      </c>
      <c r="K54" s="24">
        <v>0</v>
      </c>
      <c r="L54" s="24">
        <v>0</v>
      </c>
      <c r="M54" s="24">
        <v>0</v>
      </c>
      <c r="N54" s="24">
        <f>SUM(B54:M54)</f>
        <v>119836.52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26397.24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26397.24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5292.3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5292.3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8">B63</f>
        <v>0</v>
      </c>
      <c r="C62" s="25">
        <f t="shared" si="8"/>
        <v>0</v>
      </c>
      <c r="D62" s="25">
        <f t="shared" si="8"/>
        <v>0</v>
      </c>
      <c r="E62" s="25">
        <f t="shared" si="8"/>
        <v>0</v>
      </c>
      <c r="F62" s="25">
        <f t="shared" si="8"/>
        <v>0</v>
      </c>
      <c r="G62" s="25">
        <f t="shared" si="8"/>
        <v>0</v>
      </c>
      <c r="H62" s="25">
        <f t="shared" si="8"/>
        <v>0</v>
      </c>
      <c r="I62" s="25">
        <f t="shared" si="8"/>
        <v>0</v>
      </c>
      <c r="J62" s="25">
        <f t="shared" si="8"/>
        <v>0</v>
      </c>
      <c r="K62" s="25">
        <f t="shared" si="8"/>
        <v>0</v>
      </c>
      <c r="L62" s="25">
        <f t="shared" si="8"/>
        <v>0</v>
      </c>
      <c r="M62" s="25">
        <f t="shared" si="8"/>
        <v>0</v>
      </c>
      <c r="N62" s="25">
        <f t="shared" si="8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F52+F16+F10+F26</f>
        <v>33047756.050000001</v>
      </c>
      <c r="G83" s="26">
        <f>G52+G16+G10+G26</f>
        <v>25202494.370000001</v>
      </c>
      <c r="H83" s="26">
        <f>H52+H16+H10+H26</f>
        <v>22860437.010000002</v>
      </c>
      <c r="I83" s="26">
        <f>I52+I26+I16+I10</f>
        <v>22657354.09</v>
      </c>
      <c r="J83" s="26">
        <f>J52+J26+J16+J10</f>
        <v>22694397.009999998</v>
      </c>
      <c r="K83" s="26">
        <f>K52+K16+K10+K26</f>
        <v>34566439.890000001</v>
      </c>
      <c r="L83" s="26">
        <f>L52+L16+L10+L26</f>
        <v>0</v>
      </c>
      <c r="M83" s="26">
        <f>M10+M16+M52+M26</f>
        <v>0</v>
      </c>
      <c r="N83" s="26">
        <f>N52+N26+N16+N10+N36</f>
        <v>251487323.88</v>
      </c>
    </row>
    <row r="84" spans="1:14" x14ac:dyDescent="0.25">
      <c r="A84" s="37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2024-11-07T14:42:48Z</cp:lastPrinted>
  <dcterms:created xsi:type="dcterms:W3CDTF">2021-07-29T18:58:50Z</dcterms:created>
  <dcterms:modified xsi:type="dcterms:W3CDTF">2024-11-07T14:46:17Z</dcterms:modified>
</cp:coreProperties>
</file>