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58ECB28F-F088-4443-B267-187A58C855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'!$1:$7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3" i="3" l="1"/>
  <c r="J52" i="3"/>
  <c r="J26" i="3"/>
  <c r="J16" i="3"/>
  <c r="L51" i="2"/>
  <c r="L15" i="2"/>
  <c r="J14" i="2"/>
  <c r="H20" i="2"/>
  <c r="E54" i="1"/>
  <c r="C51" i="2"/>
  <c r="J32" i="2"/>
  <c r="J26" i="2"/>
  <c r="J24" i="2"/>
  <c r="J20" i="2"/>
  <c r="J16" i="2"/>
  <c r="G16" i="3"/>
  <c r="F17" i="3"/>
  <c r="G35" i="3"/>
  <c r="G27" i="3"/>
  <c r="G25" i="3"/>
  <c r="G24" i="3"/>
  <c r="G23" i="3"/>
  <c r="G52" i="3"/>
  <c r="I15" i="2"/>
  <c r="G26" i="3" l="1"/>
  <c r="G33" i="3"/>
  <c r="G17" i="3"/>
  <c r="G15" i="3"/>
  <c r="G11" i="3"/>
  <c r="F26" i="3"/>
  <c r="F52" i="3"/>
  <c r="F16" i="3"/>
  <c r="F83" i="3" s="1"/>
  <c r="H52" i="2"/>
  <c r="H51" i="2" s="1"/>
  <c r="H34" i="2"/>
  <c r="H26" i="2"/>
  <c r="H21" i="2"/>
  <c r="H16" i="2"/>
  <c r="H15" i="2" s="1"/>
  <c r="H10" i="2"/>
  <c r="H14" i="2"/>
  <c r="P36" i="2"/>
  <c r="E16" i="3"/>
  <c r="E26" i="3"/>
  <c r="G34" i="2"/>
  <c r="G28" i="2"/>
  <c r="G18" i="2"/>
  <c r="G10" i="2"/>
  <c r="G83" i="3" l="1"/>
  <c r="G24" i="2"/>
  <c r="G21" i="2"/>
  <c r="F20" i="2"/>
  <c r="F16" i="2"/>
  <c r="E22" i="2"/>
  <c r="G16" i="2" l="1"/>
  <c r="G15" i="2" s="1"/>
  <c r="G14" i="2"/>
  <c r="E18" i="1"/>
  <c r="F15" i="2"/>
  <c r="N37" i="3" l="1"/>
  <c r="D16" i="3"/>
  <c r="D27" i="3"/>
  <c r="D25" i="3"/>
  <c r="D24" i="3"/>
  <c r="D21" i="3"/>
  <c r="D17" i="3"/>
  <c r="D11" i="3"/>
  <c r="D15" i="3"/>
  <c r="C26" i="3"/>
  <c r="E34" i="2" l="1"/>
  <c r="E26" i="2"/>
  <c r="E24" i="2"/>
  <c r="E16" i="2" l="1"/>
  <c r="E15" i="2" s="1"/>
  <c r="E14" i="2"/>
  <c r="E10" i="2"/>
  <c r="B16" i="3"/>
  <c r="B10" i="2"/>
  <c r="B14" i="2"/>
  <c r="B11" i="2"/>
  <c r="C14" i="2"/>
  <c r="C11" i="2"/>
  <c r="D15" i="2"/>
  <c r="C16" i="3"/>
  <c r="D28" i="1"/>
  <c r="D12" i="1"/>
  <c r="M16" i="3"/>
  <c r="M26" i="3"/>
  <c r="M52" i="3"/>
  <c r="O15" i="2"/>
  <c r="L16" i="3"/>
  <c r="K26" i="3"/>
  <c r="P33" i="2"/>
  <c r="P56" i="2"/>
  <c r="P55" i="2"/>
  <c r="P54" i="2"/>
  <c r="B9" i="2" l="1"/>
  <c r="H16" i="3"/>
  <c r="H52" i="3"/>
  <c r="H26" i="3"/>
  <c r="J15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5" i="2"/>
  <c r="D18" i="1" l="1"/>
  <c r="M10" i="3"/>
  <c r="O51" i="2"/>
  <c r="C35" i="2"/>
  <c r="C15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I52" i="3"/>
  <c r="N53" i="3"/>
  <c r="D26" i="3"/>
  <c r="N25" i="3"/>
  <c r="K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P53" i="2"/>
  <c r="P52" i="2"/>
  <c r="N51" i="2"/>
  <c r="M51" i="2"/>
  <c r="K51" i="2"/>
  <c r="J51" i="2"/>
  <c r="I51" i="2"/>
  <c r="P28" i="2"/>
  <c r="P34" i="2"/>
  <c r="P32" i="2"/>
  <c r="P31" i="2"/>
  <c r="P30" i="2"/>
  <c r="P29" i="2"/>
  <c r="P27" i="2"/>
  <c r="P26" i="2"/>
  <c r="P24" i="2"/>
  <c r="P22" i="2"/>
  <c r="P19" i="2"/>
  <c r="P18" i="2"/>
  <c r="P17" i="2"/>
  <c r="K15" i="2"/>
  <c r="P23" i="2"/>
  <c r="P21" i="2"/>
  <c r="P20" i="2"/>
  <c r="P16" i="2"/>
  <c r="P14" i="2"/>
  <c r="P11" i="2"/>
  <c r="P10" i="2"/>
  <c r="G51" i="2"/>
  <c r="F51" i="2"/>
  <c r="E51" i="2"/>
  <c r="D51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O25" i="2"/>
  <c r="N25" i="2"/>
  <c r="M25" i="2"/>
  <c r="L25" i="2"/>
  <c r="K25" i="2"/>
  <c r="J25" i="2"/>
  <c r="I25" i="2"/>
  <c r="H25" i="2"/>
  <c r="G25" i="2"/>
  <c r="F25" i="2"/>
  <c r="E25" i="2"/>
  <c r="D25" i="2"/>
  <c r="N15" i="2"/>
  <c r="M15" i="2"/>
  <c r="O9" i="2"/>
  <c r="N9" i="2"/>
  <c r="M9" i="2"/>
  <c r="L9" i="2"/>
  <c r="K9" i="2"/>
  <c r="J9" i="2"/>
  <c r="I9" i="2"/>
  <c r="H9" i="2"/>
  <c r="G9" i="2"/>
  <c r="F9" i="2"/>
  <c r="E9" i="2"/>
  <c r="D9" i="2"/>
  <c r="B51" i="2"/>
  <c r="B35" i="2"/>
  <c r="C25" i="2"/>
  <c r="B25" i="2"/>
  <c r="C9" i="2"/>
  <c r="P9" i="2" l="1"/>
  <c r="E83" i="3"/>
  <c r="C83" i="3"/>
  <c r="B83" i="3"/>
  <c r="M83" i="3"/>
  <c r="L83" i="3"/>
  <c r="B82" i="2"/>
  <c r="P51" i="2"/>
  <c r="C82" i="2"/>
  <c r="I83" i="3"/>
  <c r="N26" i="3"/>
  <c r="N10" i="3"/>
  <c r="N16" i="3"/>
  <c r="N52" i="3"/>
  <c r="P25" i="2"/>
  <c r="F82" i="2"/>
  <c r="G82" i="2"/>
  <c r="P15" i="2"/>
  <c r="O82" i="2"/>
  <c r="I82" i="2"/>
  <c r="M82" i="2"/>
  <c r="N82" i="2"/>
  <c r="H82" i="2"/>
  <c r="L82" i="2"/>
  <c r="K82" i="2"/>
  <c r="J82" i="2"/>
  <c r="E82" i="2"/>
  <c r="D82" i="2"/>
  <c r="D54" i="1"/>
  <c r="E38" i="1"/>
  <c r="D38" i="1"/>
  <c r="E28" i="1"/>
  <c r="E12" i="1"/>
  <c r="E85" i="1" l="1"/>
  <c r="N83" i="3"/>
  <c r="D85" i="1"/>
  <c r="P82" i="2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<sst xmlns="http://schemas.openxmlformats.org/spreadsheetml/2006/main" count="293" uniqueCount="115">
  <si>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</si>
  <si>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</si>
  <si>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</si>
  <si>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</si>
  <si>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</si>
  <si>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</si>
  <si>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</si>
  <si>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</si>
  <si>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</si>
  <si>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</si>
  <si>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</si>
  <si>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</si>
  <si>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</si>
  <si>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</si>
  <si>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</si>
  <si>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</si>
  <si>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</si>
  <si>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</si>
  <si>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</si>
  <si>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</si>
  <si>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</si>
  <si>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</si>
  <si>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</si>
  <si>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</si>
  <si>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</si>
  <si>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</si>
  <si>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</si>
  <si>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</si>
  <si>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</si>
  <si>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</si>
  <si>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</si>
  <si>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</si>
  <si>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</si>
  <si>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</si>
  <si>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</si>
  <si>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</si>
  <si>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</si>
  <si>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</si>
  <si>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</si>
  <si>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</si>
  <si>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</si>
  <si>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</si>
  <si>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</si>
  <si>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</si>
  <si>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</si>
  <si>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</si>
  <si>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</si>
  <si>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</si>
  <si>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</si>
  <si>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</si>
  <si>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</si>
  <si>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</si>
  <si>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</si>
  <si>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</si>
  <si>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</si>
  <si>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</si>
  <si>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</si>
  <si>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</si>
  <si>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</si>
  <si>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</si>
  <si>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</si>
  <si>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</si>
  <si>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</si>
  <si>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</si>
  <si>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</si>
  <si>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</si>
  <si>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</si>
  <si>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</si>
  <si>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</si>
  <si>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</si>
  <si>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</si>
  <si>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</si>
  <si>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</si>
  <si>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</si>
  <si>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</si>
  <si>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</si>
  <si>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</si>
  <si>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</si>
  <si>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</si>
  <si>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</si>
  <si>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</si>
  <si>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</si>
  <si>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</si>
  <si>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</si>
  <si>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</si>
  <si>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</si>
  <si>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</si>
  <si>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</si>
  <si>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</si>
  <si>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</si>
  <si>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</si>
  <si>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</si>
  <si>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</si>
  <si>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</si>
  <si>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</si>
  <si>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</si>
  <si>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</si>
  <si>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</si>
  <si>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</si>
  <si>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</si>
  <si>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</si>
  <si>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</si>
  <si>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</si>
  <si>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</si>
  <si>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</si>
  <si>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</si>
  <si>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</si>
  <si>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</si>
  <si>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</si>
  <si>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</si>
  <si>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</si>
  <si>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</si>
  <si>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RD$458,209.36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</si>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</sst>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4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left" wrapText="1" inden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152400</xdr:rowOff>
    </xdr:from>
    <xdr:to>
      <xdr:col>15</xdr:col>
      <xdr:colOff>923926</xdr:colOff>
      <xdr:row>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068425" y="152400"/>
          <a:ext cx="17145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352426</xdr:colOff>
      <xdr:row>0</xdr:row>
      <xdr:rowOff>114300</xdr:rowOff>
    </xdr:from>
    <xdr:to>
      <xdr:col>15</xdr:col>
      <xdr:colOff>878362</xdr:colOff>
      <xdr:row>5</xdr:row>
      <xdr:rowOff>21225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1" y="1143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9" workbookViewId="0">
      <selection activeCell="F13" sqref="F13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3" t="s">
        <v>111</v>
      </c>
      <c r="D3" s="43"/>
      <c r="E3" s="43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3" t="s">
        <v>98</v>
      </c>
      <c r="D4" s="43"/>
      <c r="E4" s="4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9">
        <v>2024</v>
      </c>
      <c r="D5" s="50"/>
      <c r="E5" s="50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4" t="s">
        <v>76</v>
      </c>
      <c r="D6" s="45"/>
      <c r="E6" s="4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4" t="s">
        <v>77</v>
      </c>
      <c r="D7" s="45"/>
      <c r="E7" s="4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6" t="s">
        <v>66</v>
      </c>
      <c r="D9" s="47" t="s">
        <v>94</v>
      </c>
      <c r="E9" s="47" t="s">
        <v>93</v>
      </c>
      <c r="F9" s="8"/>
    </row>
    <row r="10" spans="2:16" ht="23.25" customHeight="1" x14ac:dyDescent="0.25">
      <c r="C10" s="46"/>
      <c r="D10" s="48"/>
      <c r="E10" s="48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220213213</v>
      </c>
      <c r="F12" s="8"/>
    </row>
    <row r="13" spans="2:16" x14ac:dyDescent="0.25">
      <c r="C13" s="5" t="s">
        <v>2</v>
      </c>
      <c r="D13" s="6">
        <v>169461162</v>
      </c>
      <c r="E13" s="6">
        <v>169461162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91688679</v>
      </c>
      <c r="F18" s="8"/>
    </row>
    <row r="19" spans="3:6" x14ac:dyDescent="0.25">
      <c r="C19" s="5" t="s">
        <v>8</v>
      </c>
      <c r="D19" s="6">
        <v>23080000</v>
      </c>
      <c r="E19" s="6">
        <v>24785000</v>
      </c>
      <c r="F19" s="8"/>
    </row>
    <row r="20" spans="3:6" x14ac:dyDescent="0.25">
      <c r="C20" s="5" t="s">
        <v>9</v>
      </c>
      <c r="D20" s="6">
        <v>515000</v>
      </c>
      <c r="E20" s="6">
        <v>515000</v>
      </c>
      <c r="F20" s="8"/>
    </row>
    <row r="21" spans="3:6" x14ac:dyDescent="0.25">
      <c r="C21" s="5" t="s">
        <v>10</v>
      </c>
      <c r="D21" s="6">
        <v>4200000</v>
      </c>
      <c r="E21" s="6">
        <v>16610000</v>
      </c>
      <c r="F21" s="8"/>
    </row>
    <row r="22" spans="3:6" x14ac:dyDescent="0.25">
      <c r="C22" s="5" t="s">
        <v>11</v>
      </c>
      <c r="D22" s="6">
        <v>2720000</v>
      </c>
      <c r="E22" s="6">
        <v>2850000</v>
      </c>
      <c r="F22" s="8"/>
    </row>
    <row r="23" spans="3:6" x14ac:dyDescent="0.25">
      <c r="C23" s="5" t="s">
        <v>12</v>
      </c>
      <c r="D23" s="6">
        <v>22629000</v>
      </c>
      <c r="E23" s="6">
        <v>21400000</v>
      </c>
    </row>
    <row r="24" spans="3:6" x14ac:dyDescent="0.25">
      <c r="C24" s="5" t="s">
        <v>13</v>
      </c>
      <c r="D24" s="6">
        <v>13300000</v>
      </c>
      <c r="E24" s="6">
        <v>13070830</v>
      </c>
    </row>
    <row r="25" spans="3:6" x14ac:dyDescent="0.25">
      <c r="C25" s="5" t="s">
        <v>14</v>
      </c>
      <c r="D25" s="6">
        <v>4900000</v>
      </c>
      <c r="E25" s="6">
        <v>3559500</v>
      </c>
    </row>
    <row r="26" spans="3:6" x14ac:dyDescent="0.25">
      <c r="C26" s="5" t="s">
        <v>15</v>
      </c>
      <c r="D26" s="6">
        <v>3896849</v>
      </c>
      <c r="E26" s="6">
        <v>4737349</v>
      </c>
    </row>
    <row r="27" spans="3:6" x14ac:dyDescent="0.25">
      <c r="C27" s="5" t="s">
        <v>16</v>
      </c>
      <c r="D27" s="6">
        <v>2900000</v>
      </c>
      <c r="E27" s="6">
        <v>4161000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16579848</v>
      </c>
    </row>
    <row r="29" spans="3:6" x14ac:dyDescent="0.25">
      <c r="C29" s="5" t="s">
        <v>18</v>
      </c>
      <c r="D29" s="6">
        <v>665000</v>
      </c>
      <c r="E29" s="6">
        <v>756000</v>
      </c>
    </row>
    <row r="30" spans="3:6" x14ac:dyDescent="0.25">
      <c r="C30" s="5" t="s">
        <v>19</v>
      </c>
      <c r="D30" s="6">
        <v>448000</v>
      </c>
      <c r="E30" s="6">
        <v>370600</v>
      </c>
    </row>
    <row r="31" spans="3:6" x14ac:dyDescent="0.25">
      <c r="C31" s="5" t="s">
        <v>20</v>
      </c>
      <c r="D31" s="6">
        <v>675000</v>
      </c>
      <c r="E31" s="6">
        <v>442000</v>
      </c>
    </row>
    <row r="32" spans="3:6" x14ac:dyDescent="0.25">
      <c r="C32" s="5" t="s">
        <v>21</v>
      </c>
      <c r="D32" s="6">
        <v>10000</v>
      </c>
      <c r="E32" s="6">
        <v>4000</v>
      </c>
    </row>
    <row r="33" spans="3:5" x14ac:dyDescent="0.25">
      <c r="C33" s="5" t="s">
        <v>22</v>
      </c>
      <c r="D33" s="6">
        <v>700000</v>
      </c>
      <c r="E33" s="6">
        <v>565400</v>
      </c>
    </row>
    <row r="34" spans="3:5" x14ac:dyDescent="0.25">
      <c r="C34" s="5" t="s">
        <v>23</v>
      </c>
      <c r="D34" s="6">
        <v>119678</v>
      </c>
      <c r="E34" s="6">
        <v>479678</v>
      </c>
    </row>
    <row r="35" spans="3:5" x14ac:dyDescent="0.25">
      <c r="C35" s="5" t="s">
        <v>24</v>
      </c>
      <c r="D35" s="6">
        <v>11100000</v>
      </c>
      <c r="E35" s="6">
        <v>11390000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2572170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E55+E58+E59+E56+E62</f>
        <v>3000000</v>
      </c>
    </row>
    <row r="55" spans="3:5" x14ac:dyDescent="0.25">
      <c r="C55" s="5" t="s">
        <v>44</v>
      </c>
      <c r="D55" s="6">
        <v>1900000</v>
      </c>
      <c r="E55" s="6">
        <v>1868000</v>
      </c>
    </row>
    <row r="56" spans="3:5" x14ac:dyDescent="0.25">
      <c r="C56" s="5" t="s">
        <v>45</v>
      </c>
      <c r="D56" s="6"/>
      <c r="E56" s="6">
        <v>125000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930000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50000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331531740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showGridLines="0" tabSelected="1" workbookViewId="0">
      <selection activeCell="B19" sqref="B19"/>
    </sheetView>
  </sheetViews>
  <sheetFormatPr defaultColWidth="11.42578125" defaultRowHeight="15" x14ac:dyDescent="0.25"/>
  <cols>
    <col min="1" max="1" width="53.5703125" customWidth="1"/>
    <col min="2" max="2" width="13.42578125" customWidth="1"/>
    <col min="3" max="3" width="14.28515625" customWidth="1"/>
    <col min="4" max="4" width="13.140625" customWidth="1"/>
    <col min="5" max="5" width="12.57031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4" width="7.5703125" customWidth="1"/>
    <col min="15" max="15" width="8.5703125" customWidth="1"/>
    <col min="16" max="16" width="15.85546875" customWidth="1"/>
  </cols>
  <sheetData>
    <row r="1" spans="1:17" ht="24" customHeight="1" x14ac:dyDescent="0.25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18" customHeight="1" x14ac:dyDescent="0.25">
      <c r="A2" s="57" t="s">
        <v>99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 x14ac:dyDescent="0.25">
      <c r="A3" s="49">
        <v>2024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5.75" customHeight="1" x14ac:dyDescent="0.25">
      <c r="A4" s="44" t="s">
        <v>92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15.75" customHeight="1" x14ac:dyDescent="0.25">
      <c r="A5" s="45" t="s">
        <v>77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25.5" customHeight="1" x14ac:dyDescent="0.25">
      <c r="A6" s="46" t="s">
        <v>66</v>
      </c>
      <c r="B6" s="47" t="s">
        <v>94</v>
      </c>
      <c r="C6" s="47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 x14ac:dyDescent="0.25">
      <c r="A7" s="46"/>
      <c r="B7" s="48"/>
      <c r="C7" s="48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113</v>
      </c>
      <c r="O7" s="16" t="s">
        <v>114</v>
      </c>
      <c r="P7" s="15" t="s">
        <v>78</v>
      </c>
    </row>
    <row r="8" spans="1:17" x14ac:dyDescent="0.25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x14ac:dyDescent="0.25">
      <c r="A9" s="3" t="s">
        <v>1</v>
      </c>
      <c r="B9" s="25">
        <f>B10+B11+B14</f>
        <v>220213213</v>
      </c>
      <c r="C9" s="25">
        <f>C10+C11+C14</f>
        <v>220213213</v>
      </c>
      <c r="D9" s="25">
        <f t="shared" ref="D9:O9" si="0">D10+D11+D14</f>
        <v>14296930.99</v>
      </c>
      <c r="E9" s="25">
        <f t="shared" si="0"/>
        <v>14372212.880000001</v>
      </c>
      <c r="F9" s="25">
        <f t="shared" si="0"/>
        <v>15495728.01</v>
      </c>
      <c r="G9" s="25">
        <f t="shared" si="0"/>
        <v>14490865.289999999</v>
      </c>
      <c r="H9" s="25">
        <f t="shared" si="0"/>
        <v>26405869.960000001</v>
      </c>
      <c r="I9" s="25">
        <f t="shared" si="0"/>
        <v>14862186.59</v>
      </c>
      <c r="J9" s="25">
        <f t="shared" si="0"/>
        <v>14790923.1</v>
      </c>
      <c r="K9" s="25">
        <f t="shared" si="0"/>
        <v>14902826.799999999</v>
      </c>
      <c r="L9" s="25">
        <f t="shared" si="0"/>
        <v>14468897.75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>SUM(D9:O9)</f>
        <v>144086441.37</v>
      </c>
    </row>
    <row r="10" spans="1:17" ht="12.75" customHeight="1" x14ac:dyDescent="0.25">
      <c r="A10" s="5" t="s">
        <v>2</v>
      </c>
      <c r="B10" s="24">
        <f>145407162+6404000+12450000+3700000+1500000</f>
        <v>169461162</v>
      </c>
      <c r="C10" s="24">
        <v>169461162</v>
      </c>
      <c r="D10" s="24">
        <v>12143507.34</v>
      </c>
      <c r="E10" s="24">
        <f>11376807.09+827000</f>
        <v>12203807.09</v>
      </c>
      <c r="F10" s="24">
        <v>13399653.869999999</v>
      </c>
      <c r="G10" s="24">
        <f>11494685.07+563000+286558.37</f>
        <v>12344243.439999999</v>
      </c>
      <c r="H10" s="24">
        <f>11461835.99+400000+690642+297258+11464509.6</f>
        <v>24314245.59</v>
      </c>
      <c r="I10" s="24">
        <v>12681623.6</v>
      </c>
      <c r="J10" s="24">
        <v>12593683.199999999</v>
      </c>
      <c r="K10" s="24">
        <v>12717348.529999999</v>
      </c>
      <c r="L10" s="24">
        <v>12326589.609999999</v>
      </c>
      <c r="M10" s="24">
        <v>0</v>
      </c>
      <c r="N10" s="24">
        <v>0</v>
      </c>
      <c r="O10" s="24">
        <v>0</v>
      </c>
      <c r="P10" s="24">
        <f>SUM(D10:O10)</f>
        <v>124724702.27</v>
      </c>
    </row>
    <row r="11" spans="1:17" ht="12.75" customHeight="1" x14ac:dyDescent="0.25">
      <c r="A11" s="5" t="s">
        <v>3</v>
      </c>
      <c r="B11" s="24">
        <f>4002000+12000000+12000000</f>
        <v>28002000</v>
      </c>
      <c r="C11" s="24">
        <f>4002000+12000000+12000000</f>
        <v>28002000</v>
      </c>
      <c r="D11" s="24">
        <v>333500</v>
      </c>
      <c r="E11" s="24">
        <v>333500</v>
      </c>
      <c r="F11" s="24">
        <v>333500</v>
      </c>
      <c r="G11" s="24">
        <v>333500</v>
      </c>
      <c r="H11" s="24">
        <v>308500</v>
      </c>
      <c r="I11" s="24">
        <v>308500</v>
      </c>
      <c r="J11" s="24">
        <v>333500</v>
      </c>
      <c r="K11" s="24">
        <v>333500</v>
      </c>
      <c r="L11" s="24">
        <v>288500</v>
      </c>
      <c r="M11" s="24">
        <v>0</v>
      </c>
      <c r="N11" s="24">
        <v>0</v>
      </c>
      <c r="O11" s="24">
        <v>0</v>
      </c>
      <c r="P11" s="24">
        <f>SUM(D11:O11)</f>
        <v>2906500</v>
      </c>
    </row>
    <row r="12" spans="1:17" ht="12.75" customHeight="1" x14ac:dyDescent="0.25">
      <c r="A12" s="5" t="s">
        <v>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7"/>
    </row>
    <row r="13" spans="1:17" ht="12.75" customHeight="1" x14ac:dyDescent="0.25">
      <c r="A13" s="5" t="s">
        <v>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7" ht="12.75" customHeight="1" x14ac:dyDescent="0.25">
      <c r="A14" s="5" t="s">
        <v>6</v>
      </c>
      <c r="B14" s="24">
        <f>10570151+10854000+1325900</f>
        <v>22750051</v>
      </c>
      <c r="C14" s="24">
        <f>10570151+10854000+1325900</f>
        <v>22750051</v>
      </c>
      <c r="D14" s="24">
        <v>1819923.65</v>
      </c>
      <c r="E14" s="24">
        <f>859409.67+866470.3+109025.82</f>
        <v>1834905.7900000003</v>
      </c>
      <c r="F14" s="24">
        <v>1762574.14</v>
      </c>
      <c r="G14" s="24">
        <f>849049.59+856095.62+107976.64</f>
        <v>1813121.8499999999</v>
      </c>
      <c r="H14" s="24">
        <f>835163.87+842190.36+105770.14</f>
        <v>1783124.3699999999</v>
      </c>
      <c r="I14" s="24">
        <v>1872062.99</v>
      </c>
      <c r="J14" s="24">
        <f>872482.14+879561.27+111696.49</f>
        <v>1863739.9000000001</v>
      </c>
      <c r="K14" s="24">
        <v>1851978.27</v>
      </c>
      <c r="L14" s="24">
        <v>1853808.14</v>
      </c>
      <c r="M14" s="24">
        <v>0</v>
      </c>
      <c r="N14" s="24">
        <v>0</v>
      </c>
      <c r="O14" s="24">
        <v>0</v>
      </c>
      <c r="P14" s="24">
        <f t="shared" ref="P14:P24" si="1">SUM(D14:O14)</f>
        <v>16455239.1</v>
      </c>
    </row>
    <row r="15" spans="1:17" x14ac:dyDescent="0.25">
      <c r="A15" s="3" t="s">
        <v>7</v>
      </c>
      <c r="B15" s="25">
        <f t="shared" ref="B15:G15" si="2">B16+B17+B18+B19+B20+B21+B22+B23+B24</f>
        <v>78140849</v>
      </c>
      <c r="C15" s="25">
        <f t="shared" si="2"/>
        <v>91688679</v>
      </c>
      <c r="D15" s="25">
        <f t="shared" si="2"/>
        <v>6620670.3200000003</v>
      </c>
      <c r="E15" s="25">
        <f t="shared" si="2"/>
        <v>4391463.0600000005</v>
      </c>
      <c r="F15" s="25">
        <f t="shared" si="2"/>
        <v>8824323.0700000003</v>
      </c>
      <c r="G15" s="25">
        <f t="shared" si="2"/>
        <v>7688170.1600000001</v>
      </c>
      <c r="H15" s="25">
        <f>H16+H17+H18+H19+H20+H21+H22+H23+H24</f>
        <v>5483939.25</v>
      </c>
      <c r="I15" s="25">
        <f>I16+I17+I18+I19+I20+I21+I22+I23+I24</f>
        <v>7848671.5499999998</v>
      </c>
      <c r="J15" s="25">
        <f>J16+J17+J18+J19+J20+J21+J22+J23+J24</f>
        <v>7113597.3099999996</v>
      </c>
      <c r="K15" s="25">
        <f>K16+K17+K18+K19+K20+K21+K22+K23+K24</f>
        <v>6608735.9630000005</v>
      </c>
      <c r="L15" s="25">
        <f>L16+L17+L18+L19+L20+L21+L22+L23+L24</f>
        <v>7080793.5300000003</v>
      </c>
      <c r="M15" s="25">
        <f t="shared" ref="M15:N15" si="3">M16+M17+M18+M19+M20+M21+M22+M23</f>
        <v>0</v>
      </c>
      <c r="N15" s="25">
        <f t="shared" si="3"/>
        <v>0</v>
      </c>
      <c r="O15" s="25">
        <f>O16+O17+O18+O19+O20+O21+O22+O23+O24</f>
        <v>0</v>
      </c>
      <c r="P15" s="25">
        <f t="shared" si="1"/>
        <v>61660364.213000007</v>
      </c>
    </row>
    <row r="16" spans="1:17" x14ac:dyDescent="0.25">
      <c r="A16" s="5" t="s">
        <v>8</v>
      </c>
      <c r="B16" s="24">
        <v>23080000</v>
      </c>
      <c r="C16" s="24">
        <v>24785000</v>
      </c>
      <c r="D16" s="24">
        <v>2305139.54</v>
      </c>
      <c r="E16" s="24">
        <f>435773.34+200867.09+986583.16+572753.39</f>
        <v>2195976.98</v>
      </c>
      <c r="F16" s="24">
        <f>531894.62+219894.11+999645.05+574030.01</f>
        <v>2325463.79</v>
      </c>
      <c r="G16" s="24">
        <f>484997.82+212250.14+991064.55+603000.69</f>
        <v>2291313.2000000002</v>
      </c>
      <c r="H16" s="24">
        <f>474796.68+207121.11+993058.71+598636.33</f>
        <v>2273612.83</v>
      </c>
      <c r="I16" s="24">
        <v>2295791.36</v>
      </c>
      <c r="J16" s="24">
        <f>385113.19+181759.16+994111.87+621525.71</f>
        <v>2182509.9299999997</v>
      </c>
      <c r="K16" s="24">
        <v>2344086.4900000002</v>
      </c>
      <c r="L16" s="24">
        <v>2228402.77</v>
      </c>
      <c r="M16" s="24">
        <v>0</v>
      </c>
      <c r="N16" s="24">
        <v>0</v>
      </c>
      <c r="O16" s="24">
        <v>0</v>
      </c>
      <c r="P16" s="24">
        <f t="shared" si="1"/>
        <v>20442296.889999997</v>
      </c>
    </row>
    <row r="17" spans="1:16" x14ac:dyDescent="0.25">
      <c r="A17" s="5" t="s">
        <v>9</v>
      </c>
      <c r="B17" s="24">
        <v>515000</v>
      </c>
      <c r="C17" s="24">
        <v>515000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18585</v>
      </c>
      <c r="M17" s="24">
        <v>0</v>
      </c>
      <c r="N17" s="24">
        <v>0</v>
      </c>
      <c r="O17" s="24">
        <v>0</v>
      </c>
      <c r="P17" s="24">
        <f t="shared" si="1"/>
        <v>18585</v>
      </c>
    </row>
    <row r="18" spans="1:16" x14ac:dyDescent="0.25">
      <c r="A18" s="5" t="s">
        <v>10</v>
      </c>
      <c r="B18" s="24">
        <v>4200000</v>
      </c>
      <c r="C18" s="24">
        <v>16610000</v>
      </c>
      <c r="D18" s="24">
        <v>2686800</v>
      </c>
      <c r="E18" s="24">
        <v>1180200</v>
      </c>
      <c r="F18" s="24">
        <v>2909800</v>
      </c>
      <c r="G18" s="24">
        <f>879200+198000</f>
        <v>1077200</v>
      </c>
      <c r="H18" s="24">
        <v>0</v>
      </c>
      <c r="I18" s="24">
        <v>0</v>
      </c>
      <c r="J18" s="24">
        <v>2028795</v>
      </c>
      <c r="K18" s="24">
        <v>0</v>
      </c>
      <c r="L18" s="24">
        <v>157200</v>
      </c>
      <c r="M18" s="24">
        <v>0</v>
      </c>
      <c r="N18" s="24">
        <v>0</v>
      </c>
      <c r="O18" s="24">
        <v>0</v>
      </c>
      <c r="P18" s="24">
        <f t="shared" si="1"/>
        <v>10039995</v>
      </c>
    </row>
    <row r="19" spans="1:16" x14ac:dyDescent="0.25">
      <c r="A19" s="5" t="s">
        <v>11</v>
      </c>
      <c r="B19" s="24">
        <v>2720000</v>
      </c>
      <c r="C19" s="24">
        <v>2850000</v>
      </c>
      <c r="D19" s="24">
        <v>0</v>
      </c>
      <c r="E19" s="24">
        <v>0</v>
      </c>
      <c r="F19" s="24">
        <v>0</v>
      </c>
      <c r="G19" s="24">
        <v>13000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13000</v>
      </c>
    </row>
    <row r="20" spans="1:16" x14ac:dyDescent="0.25">
      <c r="A20" s="5" t="s">
        <v>12</v>
      </c>
      <c r="B20" s="24">
        <v>22629000</v>
      </c>
      <c r="C20" s="24">
        <v>21400000</v>
      </c>
      <c r="D20" s="24">
        <v>1346926.08</v>
      </c>
      <c r="E20" s="24">
        <v>217739.5</v>
      </c>
      <c r="F20" s="24">
        <f>2205964.26+76517.1</f>
        <v>2282481.36</v>
      </c>
      <c r="G20" s="24">
        <v>1670527.88</v>
      </c>
      <c r="H20" s="24">
        <f>1320277.21+357549.12</f>
        <v>1677826.33</v>
      </c>
      <c r="I20" s="24">
        <v>2950844.98</v>
      </c>
      <c r="J20" s="24">
        <f>1320514.55+111850.43</f>
        <v>1432364.98</v>
      </c>
      <c r="K20" s="24">
        <v>2307019.81</v>
      </c>
      <c r="L20" s="24">
        <v>2634129.5499999998</v>
      </c>
      <c r="M20" s="24">
        <v>0</v>
      </c>
      <c r="N20" s="24">
        <v>0</v>
      </c>
      <c r="O20" s="24">
        <v>0</v>
      </c>
      <c r="P20" s="24">
        <f t="shared" si="1"/>
        <v>16519860.470000003</v>
      </c>
    </row>
    <row r="21" spans="1:16" x14ac:dyDescent="0.25">
      <c r="A21" s="5" t="s">
        <v>13</v>
      </c>
      <c r="B21" s="24">
        <v>13300000</v>
      </c>
      <c r="C21" s="24">
        <v>13070830</v>
      </c>
      <c r="D21" s="24">
        <v>0</v>
      </c>
      <c r="E21" s="24">
        <v>588468.36</v>
      </c>
      <c r="F21" s="24">
        <v>978800.4</v>
      </c>
      <c r="G21" s="24">
        <f>347489.18+1056336.4</f>
        <v>1403825.5799999998</v>
      </c>
      <c r="H21" s="24">
        <f>1047626.59+289347.5</f>
        <v>1336974.0899999999</v>
      </c>
      <c r="I21" s="24">
        <v>1105871.75</v>
      </c>
      <c r="J21" s="24">
        <v>1071583.1000000001</v>
      </c>
      <c r="K21" s="24">
        <v>1523758.37</v>
      </c>
      <c r="L21" s="24">
        <v>1475442.64</v>
      </c>
      <c r="M21" s="24">
        <v>0</v>
      </c>
      <c r="N21" s="24">
        <v>0</v>
      </c>
      <c r="O21" s="24">
        <v>0</v>
      </c>
      <c r="P21" s="24">
        <f t="shared" si="1"/>
        <v>9484724.2899999991</v>
      </c>
    </row>
    <row r="22" spans="1:16" ht="30" x14ac:dyDescent="0.25">
      <c r="A22" s="29" t="s">
        <v>14</v>
      </c>
      <c r="B22" s="24">
        <v>4900000</v>
      </c>
      <c r="C22" s="24">
        <v>3559500</v>
      </c>
      <c r="D22" s="24">
        <v>0</v>
      </c>
      <c r="E22" s="24">
        <f>49135.2+54566.66</f>
        <v>103701.86</v>
      </c>
      <c r="F22" s="24">
        <v>0</v>
      </c>
      <c r="G22" s="24">
        <v>308853.2</v>
      </c>
      <c r="H22" s="24">
        <v>10384</v>
      </c>
      <c r="I22" s="24">
        <v>818779.89</v>
      </c>
      <c r="J22" s="24">
        <v>57741.33</v>
      </c>
      <c r="K22" s="24">
        <v>57741.332999999999</v>
      </c>
      <c r="L22" s="24">
        <v>322297.33</v>
      </c>
      <c r="M22" s="24">
        <v>0</v>
      </c>
      <c r="N22" s="24">
        <v>0</v>
      </c>
      <c r="O22" s="24">
        <v>0</v>
      </c>
      <c r="P22" s="24">
        <f t="shared" si="1"/>
        <v>1679498.9430000002</v>
      </c>
    </row>
    <row r="23" spans="1:16" ht="30" x14ac:dyDescent="0.25">
      <c r="A23" s="29" t="s">
        <v>15</v>
      </c>
      <c r="B23" s="24">
        <v>3896849</v>
      </c>
      <c r="C23" s="24">
        <v>4737349</v>
      </c>
      <c r="D23" s="24">
        <v>0</v>
      </c>
      <c r="E23" s="24">
        <v>26786</v>
      </c>
      <c r="F23" s="24">
        <v>66000</v>
      </c>
      <c r="G23" s="24">
        <v>708000</v>
      </c>
      <c r="H23" s="24">
        <v>4602</v>
      </c>
      <c r="I23" s="24">
        <v>321508</v>
      </c>
      <c r="J23" s="24">
        <v>8614</v>
      </c>
      <c r="K23" s="24">
        <v>125230</v>
      </c>
      <c r="L23" s="24">
        <v>30962.26</v>
      </c>
      <c r="M23" s="24">
        <v>0</v>
      </c>
      <c r="N23" s="24">
        <v>0</v>
      </c>
      <c r="O23" s="24">
        <v>0</v>
      </c>
      <c r="P23" s="24">
        <f t="shared" si="1"/>
        <v>1291702.26</v>
      </c>
    </row>
    <row r="24" spans="1:16" x14ac:dyDescent="0.25">
      <c r="A24" s="5" t="s">
        <v>16</v>
      </c>
      <c r="B24" s="24">
        <v>2900000</v>
      </c>
      <c r="C24" s="24">
        <v>4161000</v>
      </c>
      <c r="D24" s="24">
        <v>281804.7</v>
      </c>
      <c r="E24" s="24">
        <f>68819.96+9770.4</f>
        <v>78590.36</v>
      </c>
      <c r="F24" s="24">
        <v>261777.52</v>
      </c>
      <c r="G24" s="24">
        <f>157258.6+58191.7</f>
        <v>215450.3</v>
      </c>
      <c r="H24" s="24">
        <v>180540</v>
      </c>
      <c r="I24" s="24">
        <v>355875.57</v>
      </c>
      <c r="J24" s="24">
        <f>233694.97+98294</f>
        <v>331988.96999999997</v>
      </c>
      <c r="K24" s="24">
        <v>250899.96</v>
      </c>
      <c r="L24" s="24">
        <v>213773.98</v>
      </c>
      <c r="M24" s="24">
        <v>0</v>
      </c>
      <c r="N24" s="24">
        <v>0</v>
      </c>
      <c r="O24" s="24">
        <v>0</v>
      </c>
      <c r="P24" s="24">
        <f t="shared" si="1"/>
        <v>2170701.36</v>
      </c>
    </row>
    <row r="25" spans="1:16" x14ac:dyDescent="0.25">
      <c r="A25" s="3" t="s">
        <v>17</v>
      </c>
      <c r="B25" s="25">
        <f>B26+B27+B28+B29+B30+B31+B32+B34</f>
        <v>15617678</v>
      </c>
      <c r="C25" s="25">
        <f>C26+C27+C28+C29+C30+C31+C32+C34</f>
        <v>16579848</v>
      </c>
      <c r="D25" s="25">
        <f t="shared" ref="D25:P25" si="4">D26+D27+D28+D29+D30+D31+D32+D34</f>
        <v>715604</v>
      </c>
      <c r="E25" s="25">
        <f t="shared" si="4"/>
        <v>2060669.4</v>
      </c>
      <c r="F25" s="25">
        <f t="shared" si="4"/>
        <v>195375.4</v>
      </c>
      <c r="G25" s="25">
        <f t="shared" si="4"/>
        <v>1282432.8799999999</v>
      </c>
      <c r="H25" s="25">
        <f t="shared" si="4"/>
        <v>1063414.23</v>
      </c>
      <c r="I25" s="25">
        <f t="shared" si="4"/>
        <v>2451261.69</v>
      </c>
      <c r="J25" s="25">
        <f t="shared" si="4"/>
        <v>955916.6</v>
      </c>
      <c r="K25" s="25">
        <f t="shared" si="4"/>
        <v>1020059.72</v>
      </c>
      <c r="L25" s="25">
        <f t="shared" si="4"/>
        <v>1033769.2100000001</v>
      </c>
      <c r="M25" s="25">
        <f t="shared" si="4"/>
        <v>0</v>
      </c>
      <c r="N25" s="25">
        <f t="shared" si="4"/>
        <v>0</v>
      </c>
      <c r="O25" s="25">
        <f t="shared" si="4"/>
        <v>0</v>
      </c>
      <c r="P25" s="25">
        <f t="shared" si="4"/>
        <v>10778503.129999999</v>
      </c>
    </row>
    <row r="26" spans="1:16" x14ac:dyDescent="0.25">
      <c r="A26" s="5" t="s">
        <v>18</v>
      </c>
      <c r="B26" s="24">
        <v>665000</v>
      </c>
      <c r="C26" s="24">
        <v>756000</v>
      </c>
      <c r="D26" s="24">
        <v>0</v>
      </c>
      <c r="E26" s="24">
        <f>10570+25623.2</f>
        <v>36193.199999999997</v>
      </c>
      <c r="F26" s="24">
        <v>11260</v>
      </c>
      <c r="G26" s="24">
        <v>97335.29</v>
      </c>
      <c r="H26" s="24">
        <f>8260+99125.66</f>
        <v>107385.66</v>
      </c>
      <c r="I26" s="24">
        <v>24523.599999999999</v>
      </c>
      <c r="J26" s="24">
        <f>12880+15422.6</f>
        <v>28302.6</v>
      </c>
      <c r="K26" s="24">
        <v>15889</v>
      </c>
      <c r="L26" s="24">
        <v>104911.63</v>
      </c>
      <c r="M26" s="24">
        <v>0</v>
      </c>
      <c r="N26" s="24">
        <v>0</v>
      </c>
      <c r="O26" s="24">
        <v>0</v>
      </c>
      <c r="P26" s="24">
        <f t="shared" ref="P26:P33" si="5">SUM(D26:O26)</f>
        <v>425800.98</v>
      </c>
    </row>
    <row r="27" spans="1:16" x14ac:dyDescent="0.25">
      <c r="A27" s="5" t="s">
        <v>19</v>
      </c>
      <c r="B27" s="24">
        <v>448000</v>
      </c>
      <c r="C27" s="24">
        <v>370600</v>
      </c>
      <c r="D27" s="24">
        <v>0</v>
      </c>
      <c r="E27" s="24">
        <v>0</v>
      </c>
      <c r="F27" s="24">
        <v>184115.4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si="5"/>
        <v>184115.4</v>
      </c>
    </row>
    <row r="28" spans="1:16" x14ac:dyDescent="0.25">
      <c r="A28" s="5" t="s">
        <v>20</v>
      </c>
      <c r="B28" s="24">
        <v>675000</v>
      </c>
      <c r="C28" s="24">
        <v>442000</v>
      </c>
      <c r="D28" s="24">
        <v>0</v>
      </c>
      <c r="E28" s="24">
        <v>0</v>
      </c>
      <c r="F28" s="24">
        <v>0</v>
      </c>
      <c r="G28" s="24">
        <f>58882+159770.21</f>
        <v>218652.21</v>
      </c>
      <c r="H28" s="24">
        <v>0</v>
      </c>
      <c r="I28" s="24">
        <v>3450</v>
      </c>
      <c r="J28" s="24">
        <v>0</v>
      </c>
      <c r="K28" s="24">
        <v>0</v>
      </c>
      <c r="L28" s="24">
        <v>113006.38</v>
      </c>
      <c r="M28" s="24">
        <v>0</v>
      </c>
      <c r="N28" s="24">
        <v>0</v>
      </c>
      <c r="O28" s="24">
        <v>0</v>
      </c>
      <c r="P28" s="24">
        <f t="shared" si="5"/>
        <v>335108.58999999997</v>
      </c>
    </row>
    <row r="29" spans="1:16" x14ac:dyDescent="0.25">
      <c r="A29" s="5" t="s">
        <v>21</v>
      </c>
      <c r="B29" s="24">
        <v>10000</v>
      </c>
      <c r="C29" s="24">
        <v>4000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0</v>
      </c>
    </row>
    <row r="30" spans="1:16" x14ac:dyDescent="0.25">
      <c r="A30" s="5" t="s">
        <v>22</v>
      </c>
      <c r="B30" s="24">
        <v>700000</v>
      </c>
      <c r="C30" s="24">
        <v>565400</v>
      </c>
      <c r="D30" s="24">
        <v>0</v>
      </c>
      <c r="E30" s="24">
        <v>0</v>
      </c>
      <c r="F30" s="24">
        <v>0</v>
      </c>
      <c r="G30" s="24">
        <v>198633.65</v>
      </c>
      <c r="H30" s="24">
        <v>0</v>
      </c>
      <c r="I30" s="24">
        <v>0</v>
      </c>
      <c r="J30" s="24">
        <v>0</v>
      </c>
      <c r="K30" s="24">
        <v>134921.20000000001</v>
      </c>
      <c r="L30" s="24">
        <v>68149.16</v>
      </c>
      <c r="M30" s="24">
        <v>0</v>
      </c>
      <c r="N30" s="24">
        <v>0</v>
      </c>
      <c r="O30" s="24">
        <v>0</v>
      </c>
      <c r="P30" s="24">
        <f t="shared" si="5"/>
        <v>401704.01</v>
      </c>
    </row>
    <row r="31" spans="1:16" ht="30" x14ac:dyDescent="0.25">
      <c r="A31" s="29" t="s">
        <v>23</v>
      </c>
      <c r="B31" s="24">
        <v>119678</v>
      </c>
      <c r="C31" s="24">
        <v>479678</v>
      </c>
      <c r="D31" s="24">
        <v>0</v>
      </c>
      <c r="E31" s="24">
        <v>0</v>
      </c>
      <c r="F31" s="24">
        <v>0</v>
      </c>
      <c r="G31" s="24">
        <v>0</v>
      </c>
      <c r="H31" s="24">
        <v>3457.86</v>
      </c>
      <c r="I31" s="24">
        <v>908.6</v>
      </c>
      <c r="J31" s="24">
        <v>205320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209686.46</v>
      </c>
    </row>
    <row r="32" spans="1:16" ht="30" x14ac:dyDescent="0.25">
      <c r="A32" s="29" t="s">
        <v>24</v>
      </c>
      <c r="B32" s="24">
        <v>11100000</v>
      </c>
      <c r="C32" s="24">
        <v>11390000</v>
      </c>
      <c r="D32" s="24">
        <v>715604</v>
      </c>
      <c r="E32" s="24">
        <v>1907604</v>
      </c>
      <c r="F32" s="24">
        <v>0</v>
      </c>
      <c r="G32" s="24">
        <v>686600</v>
      </c>
      <c r="H32" s="24">
        <v>698600</v>
      </c>
      <c r="I32" s="24">
        <v>2011533.98</v>
      </c>
      <c r="J32" s="24">
        <f>705500+16794</f>
        <v>722294</v>
      </c>
      <c r="K32" s="24">
        <v>702500</v>
      </c>
      <c r="L32" s="24">
        <v>681804</v>
      </c>
      <c r="M32" s="24">
        <v>0</v>
      </c>
      <c r="N32" s="24">
        <v>0</v>
      </c>
      <c r="O32" s="24">
        <v>0</v>
      </c>
      <c r="P32" s="24">
        <f t="shared" si="5"/>
        <v>8126539.9800000004</v>
      </c>
    </row>
    <row r="33" spans="1:16" ht="30" x14ac:dyDescent="0.25">
      <c r="A33" s="29" t="s">
        <v>25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0</v>
      </c>
    </row>
    <row r="34" spans="1:16" x14ac:dyDescent="0.25">
      <c r="A34" s="5" t="s">
        <v>26</v>
      </c>
      <c r="B34" s="24">
        <v>1900000</v>
      </c>
      <c r="C34" s="24">
        <v>2572170</v>
      </c>
      <c r="D34" s="24">
        <v>0</v>
      </c>
      <c r="E34" s="24">
        <f>23610.9+93261.3</f>
        <v>116872.20000000001</v>
      </c>
      <c r="F34" s="24">
        <v>0</v>
      </c>
      <c r="G34" s="24">
        <f>61505.73+19706</f>
        <v>81211.73000000001</v>
      </c>
      <c r="H34" s="24">
        <f>65466.4+11151+13715.99+163637.32</f>
        <v>253970.71000000002</v>
      </c>
      <c r="I34" s="24">
        <v>410845.51</v>
      </c>
      <c r="J34" s="24">
        <v>0</v>
      </c>
      <c r="K34" s="24">
        <v>166749.51999999999</v>
      </c>
      <c r="L34" s="24">
        <v>65898.039999999994</v>
      </c>
      <c r="M34" s="24">
        <v>0</v>
      </c>
      <c r="N34" s="24">
        <v>0</v>
      </c>
      <c r="O34" s="24">
        <v>0</v>
      </c>
      <c r="P34" s="24">
        <f>SUM(D34:O34)</f>
        <v>1095547.71</v>
      </c>
    </row>
    <row r="35" spans="1:16" x14ac:dyDescent="0.25">
      <c r="A35" s="3" t="s">
        <v>27</v>
      </c>
      <c r="B35" s="25">
        <f>B36</f>
        <v>50000</v>
      </c>
      <c r="C35" s="25">
        <f>C36</f>
        <v>50000</v>
      </c>
      <c r="D35" s="25">
        <f t="shared" ref="D35:P35" si="6">D36</f>
        <v>0</v>
      </c>
      <c r="E35" s="25">
        <f t="shared" si="6"/>
        <v>0</v>
      </c>
      <c r="F35" s="25">
        <f t="shared" si="6"/>
        <v>24000</v>
      </c>
      <c r="G35" s="25">
        <f t="shared" si="6"/>
        <v>0</v>
      </c>
      <c r="H35" s="25">
        <f t="shared" si="6"/>
        <v>0</v>
      </c>
      <c r="I35" s="25">
        <f t="shared" si="6"/>
        <v>0</v>
      </c>
      <c r="J35" s="25">
        <f t="shared" si="6"/>
        <v>0</v>
      </c>
      <c r="K35" s="25">
        <f t="shared" si="6"/>
        <v>0</v>
      </c>
      <c r="L35" s="25">
        <f t="shared" si="6"/>
        <v>0</v>
      </c>
      <c r="M35" s="25">
        <f t="shared" si="6"/>
        <v>0</v>
      </c>
      <c r="N35" s="25">
        <f t="shared" si="6"/>
        <v>0</v>
      </c>
      <c r="O35" s="25">
        <f t="shared" si="6"/>
        <v>0</v>
      </c>
      <c r="P35" s="25">
        <f t="shared" si="6"/>
        <v>24000</v>
      </c>
    </row>
    <row r="36" spans="1:16" x14ac:dyDescent="0.25">
      <c r="A36" s="5" t="s">
        <v>28</v>
      </c>
      <c r="B36" s="24">
        <v>50000</v>
      </c>
      <c r="C36" s="24">
        <v>50000</v>
      </c>
      <c r="D36" s="24">
        <v>0</v>
      </c>
      <c r="E36" s="24">
        <v>0</v>
      </c>
      <c r="F36" s="24">
        <v>24000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SUM(D36:O36)</f>
        <v>24000</v>
      </c>
    </row>
    <row r="37" spans="1:16" ht="30" x14ac:dyDescent="0.25">
      <c r="A37" s="29" t="s">
        <v>29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 ht="30" x14ac:dyDescent="0.25">
      <c r="A38" s="29" t="s">
        <v>30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30" x14ac:dyDescent="0.25">
      <c r="A39" s="29" t="s">
        <v>31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32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x14ac:dyDescent="0.25">
      <c r="A41" s="5" t="s">
        <v>33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34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 x14ac:dyDescent="0.25">
      <c r="A43" s="29" t="s">
        <v>35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3" t="s">
        <v>36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5" t="s">
        <v>37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ht="30" x14ac:dyDescent="0.25">
      <c r="A46" s="29" t="s">
        <v>38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30" x14ac:dyDescent="0.25">
      <c r="A47" s="29" t="s">
        <v>39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40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3" t="s">
        <v>43</v>
      </c>
      <c r="B51" s="25">
        <f>B52+B55+B56</f>
        <v>3000000</v>
      </c>
      <c r="C51" s="25">
        <f>C52+C55+C56+C53+C59</f>
        <v>3000000</v>
      </c>
      <c r="D51" s="25">
        <f>D52+D55+D56</f>
        <v>0</v>
      </c>
      <c r="E51" s="25">
        <f>E52+E55+E56</f>
        <v>0</v>
      </c>
      <c r="F51" s="25">
        <f>F52+F55+F56</f>
        <v>0</v>
      </c>
      <c r="G51" s="25">
        <f>G52+G55+G56</f>
        <v>0</v>
      </c>
      <c r="H51" s="25">
        <f>H53+H52</f>
        <v>94532.61</v>
      </c>
      <c r="I51" s="25">
        <f t="shared" ref="I51:N51" si="7">I52+I55+I56</f>
        <v>40374.540000000008</v>
      </c>
      <c r="J51" s="25">
        <f t="shared" si="7"/>
        <v>0</v>
      </c>
      <c r="K51" s="25">
        <f t="shared" si="7"/>
        <v>125731.61</v>
      </c>
      <c r="L51" s="25">
        <f>L52+L55+L56+L53</f>
        <v>110936.52</v>
      </c>
      <c r="M51" s="25">
        <f t="shared" si="7"/>
        <v>0</v>
      </c>
      <c r="N51" s="25">
        <f t="shared" si="7"/>
        <v>0</v>
      </c>
      <c r="O51" s="25">
        <f>O52+O55+O56+O53</f>
        <v>0</v>
      </c>
      <c r="P51" s="25">
        <f>SUM(D51:O51)</f>
        <v>371575.28</v>
      </c>
    </row>
    <row r="52" spans="1:16" x14ac:dyDescent="0.25">
      <c r="A52" s="5" t="s">
        <v>44</v>
      </c>
      <c r="B52" s="24">
        <v>1900000</v>
      </c>
      <c r="C52" s="24">
        <v>1868000</v>
      </c>
      <c r="D52" s="24">
        <v>0</v>
      </c>
      <c r="E52" s="24">
        <v>0</v>
      </c>
      <c r="F52" s="24">
        <v>0</v>
      </c>
      <c r="G52" s="24">
        <v>0</v>
      </c>
      <c r="H52" s="24">
        <f>52906+32726.61</f>
        <v>85632.61</v>
      </c>
      <c r="I52" s="24">
        <v>8685</v>
      </c>
      <c r="J52" s="24">
        <v>0</v>
      </c>
      <c r="K52" s="24">
        <v>125731.61</v>
      </c>
      <c r="L52" s="24">
        <v>0</v>
      </c>
      <c r="M52" s="24"/>
      <c r="N52" s="24"/>
      <c r="O52" s="24"/>
      <c r="P52" s="24">
        <f>SUM(D52:O52)</f>
        <v>220049.22</v>
      </c>
    </row>
    <row r="53" spans="1:16" ht="30" x14ac:dyDescent="0.25">
      <c r="A53" s="29" t="s">
        <v>45</v>
      </c>
      <c r="B53" s="24">
        <v>0</v>
      </c>
      <c r="C53" s="24">
        <v>125000</v>
      </c>
      <c r="D53" s="24">
        <v>0</v>
      </c>
      <c r="E53" s="24">
        <v>0</v>
      </c>
      <c r="F53" s="24">
        <v>0</v>
      </c>
      <c r="G53" s="24">
        <v>0</v>
      </c>
      <c r="H53" s="24">
        <v>8900</v>
      </c>
      <c r="I53" s="24">
        <v>0</v>
      </c>
      <c r="J53" s="24">
        <v>0</v>
      </c>
      <c r="K53" s="24">
        <v>0</v>
      </c>
      <c r="L53" s="24">
        <v>110936.52</v>
      </c>
      <c r="M53" s="24">
        <v>0</v>
      </c>
      <c r="N53" s="24">
        <v>0</v>
      </c>
      <c r="O53" s="24">
        <v>0</v>
      </c>
      <c r="P53" s="24">
        <f>SUM(D53:O53)</f>
        <v>119836.52</v>
      </c>
    </row>
    <row r="54" spans="1:16" ht="30" x14ac:dyDescent="0.25">
      <c r="A54" s="29" t="s">
        <v>46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 t="shared" ref="P54:P56" si="8">SUM(D54:O54)</f>
        <v>0</v>
      </c>
    </row>
    <row r="55" spans="1:16" ht="30" x14ac:dyDescent="0.25">
      <c r="A55" s="29" t="s">
        <v>47</v>
      </c>
      <c r="B55" s="24">
        <v>0</v>
      </c>
      <c r="C55" s="24">
        <v>27000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26397.24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si="8"/>
        <v>26397.24</v>
      </c>
    </row>
    <row r="56" spans="1:16" x14ac:dyDescent="0.25">
      <c r="A56" s="5" t="s">
        <v>48</v>
      </c>
      <c r="B56" s="24">
        <v>1100000</v>
      </c>
      <c r="C56" s="24">
        <v>930000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5292.3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/>
      <c r="P56" s="24">
        <f t="shared" si="8"/>
        <v>5292.3</v>
      </c>
    </row>
    <row r="57" spans="1:16" x14ac:dyDescent="0.25">
      <c r="A57" s="5" t="s">
        <v>49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</row>
    <row r="58" spans="1:16" x14ac:dyDescent="0.25">
      <c r="A58" s="5" t="s">
        <v>50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5" t="s">
        <v>51</v>
      </c>
      <c r="B59" s="24">
        <v>0</v>
      </c>
      <c r="C59" s="24">
        <v>50000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52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3" t="s">
        <v>53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x14ac:dyDescent="0.25">
      <c r="A62" s="5" t="s">
        <v>54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5" t="s">
        <v>55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5" t="s">
        <v>56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ht="30" x14ac:dyDescent="0.25">
      <c r="A65" s="29" t="s">
        <v>57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30" x14ac:dyDescent="0.25">
      <c r="A66" s="40" t="s">
        <v>58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1:16" x14ac:dyDescent="0.25">
      <c r="A67" s="5" t="s">
        <v>59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ht="30" x14ac:dyDescent="0.25">
      <c r="A68" s="29" t="s">
        <v>60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3" t="s">
        <v>61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5" t="s">
        <v>62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5" t="s">
        <v>63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ht="30" x14ac:dyDescent="0.25">
      <c r="A72" s="29" t="s">
        <v>64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1" t="s">
        <v>67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 x14ac:dyDescent="0.25">
      <c r="A74" s="3" t="s">
        <v>68</v>
      </c>
      <c r="B74" s="25"/>
      <c r="C74" s="25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ht="30" x14ac:dyDescent="0.25">
      <c r="A75" s="29" t="s">
        <v>69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ht="30" x14ac:dyDescent="0.25">
      <c r="A76" s="29" t="s">
        <v>70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x14ac:dyDescent="0.25">
      <c r="A77" s="3" t="s">
        <v>71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x14ac:dyDescent="0.25">
      <c r="A78" s="5" t="s">
        <v>72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5" t="s">
        <v>73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3" t="s">
        <v>74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</row>
    <row r="81" spans="1:16" x14ac:dyDescent="0.25">
      <c r="A81" s="5" t="s">
        <v>75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ht="19.5" customHeight="1" x14ac:dyDescent="0.25">
      <c r="A82" s="9" t="s">
        <v>65</v>
      </c>
      <c r="B82" s="28">
        <f>B51+B35+B25+B15+B9</f>
        <v>317021740</v>
      </c>
      <c r="C82" s="28">
        <f>C51+C35+C25+C15+C9</f>
        <v>331531740</v>
      </c>
      <c r="D82" s="28">
        <f t="shared" ref="D82:P82" si="9">D51+D35+D25+D15+D9</f>
        <v>21633205.310000002</v>
      </c>
      <c r="E82" s="28">
        <f t="shared" si="9"/>
        <v>20824345.340000004</v>
      </c>
      <c r="F82" s="28">
        <f t="shared" si="9"/>
        <v>24539426.48</v>
      </c>
      <c r="G82" s="28">
        <f t="shared" si="9"/>
        <v>23461468.329999998</v>
      </c>
      <c r="H82" s="28">
        <f t="shared" si="9"/>
        <v>33047756.050000001</v>
      </c>
      <c r="I82" s="28">
        <f t="shared" si="9"/>
        <v>25202494.369999997</v>
      </c>
      <c r="J82" s="28">
        <f t="shared" si="9"/>
        <v>22860437.009999998</v>
      </c>
      <c r="K82" s="28">
        <f t="shared" si="9"/>
        <v>22657354.092999998</v>
      </c>
      <c r="L82" s="28">
        <f t="shared" si="9"/>
        <v>22694397.009999998</v>
      </c>
      <c r="M82" s="28">
        <f t="shared" si="9"/>
        <v>0</v>
      </c>
      <c r="N82" s="28">
        <f t="shared" si="9"/>
        <v>0</v>
      </c>
      <c r="O82" s="28">
        <f t="shared" si="9"/>
        <v>0</v>
      </c>
      <c r="P82" s="28">
        <f t="shared" si="9"/>
        <v>216920883.99300003</v>
      </c>
    </row>
    <row r="83" spans="1:16" x14ac:dyDescent="0.25">
      <c r="A83" s="37" t="s">
        <v>112</v>
      </c>
    </row>
    <row r="84" spans="1:16" ht="12" customHeight="1" x14ac:dyDescent="0.25"/>
    <row r="85" spans="1:16" ht="18.75" x14ac:dyDescent="0.3">
      <c r="A85" s="31"/>
      <c r="B85" s="31" t="s">
        <v>101</v>
      </c>
      <c r="C85" s="30"/>
      <c r="D85" s="30"/>
      <c r="E85" s="30"/>
      <c r="F85" s="31" t="s">
        <v>102</v>
      </c>
      <c r="H85" s="32"/>
      <c r="J85" s="33"/>
      <c r="K85" s="30"/>
    </row>
    <row r="86" spans="1:16" ht="33.75" customHeight="1" x14ac:dyDescent="0.3">
      <c r="A86" s="34"/>
      <c r="B86" s="34" t="s">
        <v>103</v>
      </c>
      <c r="C86" s="32"/>
      <c r="D86" s="30"/>
      <c r="E86" s="30"/>
      <c r="F86" s="34" t="s">
        <v>103</v>
      </c>
      <c r="H86" s="34"/>
      <c r="I86" s="30"/>
      <c r="J86" s="30"/>
      <c r="K86" s="30"/>
    </row>
    <row r="87" spans="1:16" ht="18.75" x14ac:dyDescent="0.3">
      <c r="A87" s="32"/>
      <c r="B87" s="32" t="s">
        <v>104</v>
      </c>
      <c r="C87" s="32"/>
      <c r="D87" s="30"/>
      <c r="E87" s="30"/>
      <c r="F87" s="32" t="s">
        <v>105</v>
      </c>
      <c r="G87" s="51" t="s">
        <v>107</v>
      </c>
      <c r="H87" s="51"/>
      <c r="I87" s="51"/>
      <c r="J87" s="51"/>
      <c r="K87" s="30"/>
    </row>
    <row r="88" spans="1:16" s="39" customFormat="1" ht="18.75" x14ac:dyDescent="0.3">
      <c r="A88" s="32"/>
      <c r="C88" s="41" t="s">
        <v>106</v>
      </c>
      <c r="D88" s="38"/>
      <c r="E88" s="38"/>
      <c r="F88" s="42" t="s">
        <v>108</v>
      </c>
      <c r="H88" s="32"/>
      <c r="I88" s="38"/>
      <c r="J88" s="38"/>
      <c r="K88" s="38"/>
    </row>
    <row r="89" spans="1:16" ht="18.75" x14ac:dyDescent="0.3">
      <c r="D89" s="30"/>
      <c r="E89" s="30"/>
      <c r="F89" s="30"/>
      <c r="H89" s="30"/>
      <c r="I89" s="30"/>
      <c r="J89" s="30"/>
      <c r="K89" s="30"/>
    </row>
    <row r="90" spans="1:16" ht="18.75" x14ac:dyDescent="0.25">
      <c r="B90" s="32"/>
    </row>
  </sheetData>
  <mergeCells count="10">
    <mergeCell ref="G87:J87"/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" right="0" top="0.39370078740157483" bottom="0.35433070866141736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B1" zoomScaleNormal="100" workbookViewId="0">
      <selection activeCell="S52" sqref="S52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61" t="s">
        <v>111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5" ht="21" customHeight="1" x14ac:dyDescent="0.25">
      <c r="A3" s="59" t="s">
        <v>100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5" ht="15.75" x14ac:dyDescent="0.25">
      <c r="A4" s="49">
        <v>2024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5" ht="15.75" customHeight="1" x14ac:dyDescent="0.25">
      <c r="A5" s="44" t="s">
        <v>92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5" ht="15.75" customHeight="1" x14ac:dyDescent="0.25">
      <c r="A6" s="45" t="s">
        <v>77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14862186.59</v>
      </c>
      <c r="H10" s="25">
        <f t="shared" si="0"/>
        <v>14790923.1</v>
      </c>
      <c r="I10" s="25">
        <f>I11+I12+I15</f>
        <v>14902826.799999999</v>
      </c>
      <c r="J10" s="25">
        <f t="shared" si="0"/>
        <v>14468897.75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144086441.37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f>11954420.44+490000+57750+179453.16</f>
        <v>12681623.6</v>
      </c>
      <c r="H11" s="24">
        <v>12593683.199999999</v>
      </c>
      <c r="I11" s="24">
        <v>12717348.529999999</v>
      </c>
      <c r="J11" s="24">
        <v>12326589.609999999</v>
      </c>
      <c r="K11" s="24">
        <v>0</v>
      </c>
      <c r="L11" s="24">
        <v>0</v>
      </c>
      <c r="M11" s="24">
        <v>0</v>
      </c>
      <c r="N11" s="24">
        <f>SUM(B11:M11)</f>
        <v>124724702.27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308500</v>
      </c>
      <c r="H12" s="24">
        <v>333500</v>
      </c>
      <c r="I12" s="24">
        <v>333500</v>
      </c>
      <c r="J12" s="24">
        <v>288500</v>
      </c>
      <c r="K12" s="24">
        <v>0</v>
      </c>
      <c r="L12" s="24">
        <v>0</v>
      </c>
      <c r="M12" s="24">
        <v>0</v>
      </c>
      <c r="N12" s="24">
        <f>SUM(B12:M12)</f>
        <v>2906500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f>876469.07+883553.85+112040.07</f>
        <v>1872062.99</v>
      </c>
      <c r="H15" s="24">
        <v>1863739.9</v>
      </c>
      <c r="I15" s="24">
        <v>1851978.27</v>
      </c>
      <c r="J15" s="24">
        <v>1853808.14</v>
      </c>
      <c r="K15" s="24">
        <v>0</v>
      </c>
      <c r="L15" s="24">
        <v>0</v>
      </c>
      <c r="M15" s="24">
        <v>0</v>
      </c>
      <c r="N15" s="24">
        <f>SUM(B15:M15)</f>
        <v>16455239.100000001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6620670.3200000003</v>
      </c>
      <c r="C16" s="25">
        <f t="shared" si="1"/>
        <v>4391463.0600000005</v>
      </c>
      <c r="D16" s="25">
        <f t="shared" si="1"/>
        <v>8824323.0700000003</v>
      </c>
      <c r="E16" s="25">
        <f t="shared" si="1"/>
        <v>7688170.1600000001</v>
      </c>
      <c r="F16" s="25">
        <f t="shared" si="1"/>
        <v>5483939.25</v>
      </c>
      <c r="G16" s="25">
        <f>G17+G18+G19+G20+G21+G22+G23+G24+G25</f>
        <v>7848671.5499999998</v>
      </c>
      <c r="H16" s="25">
        <f t="shared" si="1"/>
        <v>7113597.3099999996</v>
      </c>
      <c r="I16" s="25">
        <f t="shared" si="1"/>
        <v>6608735.9600000009</v>
      </c>
      <c r="J16" s="25">
        <f>J17+J18+J19+J20+J21+J22+J23+J24+J25</f>
        <v>7080793.5300000003</v>
      </c>
      <c r="K16" s="25">
        <f t="shared" ref="K16" si="2">K17+K18+K19+K20+K21+K22+K23+K24</f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61660364.210000001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f>474796.68+207121.11+993058.71+598636.33</f>
        <v>2273612.83</v>
      </c>
      <c r="G17" s="24">
        <f>476705.04+203644.1+993567.39+621874.83</f>
        <v>2295791.36</v>
      </c>
      <c r="H17" s="24">
        <v>2182509.9300000002</v>
      </c>
      <c r="I17" s="24">
        <v>2344086.4900000002</v>
      </c>
      <c r="J17" s="24">
        <v>2228402.77</v>
      </c>
      <c r="K17" s="24">
        <v>0</v>
      </c>
      <c r="L17" s="24">
        <v>0</v>
      </c>
      <c r="M17" s="24">
        <v>0</v>
      </c>
      <c r="N17" s="24">
        <f>SUM(B17:M17)</f>
        <v>20442296.889999997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18585</v>
      </c>
      <c r="K18" s="24">
        <v>0</v>
      </c>
      <c r="L18" s="24">
        <v>0</v>
      </c>
      <c r="M18" s="24">
        <v>0</v>
      </c>
      <c r="N18" s="24">
        <f t="shared" ref="N18:N23" si="3">SUM(B18:M18)</f>
        <v>18585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2028795</v>
      </c>
      <c r="I19" s="24">
        <v>0</v>
      </c>
      <c r="J19" s="24">
        <v>157200</v>
      </c>
      <c r="K19" s="24">
        <v>0</v>
      </c>
      <c r="L19" s="24">
        <v>0</v>
      </c>
      <c r="M19" s="24">
        <v>0</v>
      </c>
      <c r="N19" s="24">
        <f t="shared" si="3"/>
        <v>10039995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13000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1677826.33</v>
      </c>
      <c r="G21" s="24">
        <v>2950844.98</v>
      </c>
      <c r="H21" s="24">
        <v>1432364.98</v>
      </c>
      <c r="I21" s="24">
        <v>2307019.81</v>
      </c>
      <c r="J21" s="24">
        <v>2634129.5499999998</v>
      </c>
      <c r="K21" s="24">
        <v>0</v>
      </c>
      <c r="L21" s="24">
        <v>0</v>
      </c>
      <c r="M21" s="24">
        <v>0</v>
      </c>
      <c r="N21" s="24">
        <f t="shared" si="3"/>
        <v>15172934.390000001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1105871.75</v>
      </c>
      <c r="H22" s="24">
        <v>1071583.1000000001</v>
      </c>
      <c r="I22" s="24">
        <v>1523758.37</v>
      </c>
      <c r="J22" s="24">
        <v>1475442.64</v>
      </c>
      <c r="K22" s="24">
        <v>0</v>
      </c>
      <c r="L22" s="24">
        <v>0</v>
      </c>
      <c r="M22" s="24">
        <v>0</v>
      </c>
      <c r="N22" s="24">
        <f t="shared" si="3"/>
        <v>10831650.370000001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f>498555.9+164413.33+155810.66</f>
        <v>818779.89</v>
      </c>
      <c r="H23" s="24">
        <v>57741.33</v>
      </c>
      <c r="I23" s="24">
        <v>57741.33</v>
      </c>
      <c r="J23" s="24">
        <v>322297.33</v>
      </c>
      <c r="K23" s="24">
        <v>0</v>
      </c>
      <c r="L23" s="24">
        <v>0</v>
      </c>
      <c r="M23" s="24">
        <v>0</v>
      </c>
      <c r="N23" s="24">
        <f t="shared" si="3"/>
        <v>1679498.9400000002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f>18408+303100</f>
        <v>321508</v>
      </c>
      <c r="H24" s="24">
        <v>8614</v>
      </c>
      <c r="I24" s="24">
        <v>125230</v>
      </c>
      <c r="J24" s="24">
        <v>30962.26</v>
      </c>
      <c r="K24" s="24">
        <v>0</v>
      </c>
      <c r="L24" s="24">
        <v>0</v>
      </c>
      <c r="M24" s="24">
        <v>0</v>
      </c>
      <c r="N24" s="24">
        <f>SUM(B24:M24)</f>
        <v>1291702.26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f>15458+263339.97+77077.6</f>
        <v>355875.56999999995</v>
      </c>
      <c r="H25" s="24">
        <v>331988.96999999997</v>
      </c>
      <c r="I25" s="24">
        <v>250899.96</v>
      </c>
      <c r="J25" s="24">
        <v>213773.98</v>
      </c>
      <c r="K25" s="24">
        <v>0</v>
      </c>
      <c r="L25" s="24">
        <v>0</v>
      </c>
      <c r="M25" s="24">
        <v>0</v>
      </c>
      <c r="N25" s="24">
        <f>SUM(B25:M25)</f>
        <v>2170701.36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 t="shared" ref="F26:N26" si="4">F27+F28+F29+F30+F31+F32+F33+F35</f>
        <v>1063414.23</v>
      </c>
      <c r="G26" s="25">
        <f t="shared" si="4"/>
        <v>2451261.69</v>
      </c>
      <c r="H26" s="25">
        <f t="shared" si="4"/>
        <v>955916.6</v>
      </c>
      <c r="I26" s="25">
        <f t="shared" si="4"/>
        <v>1020059.72</v>
      </c>
      <c r="J26" s="25">
        <f t="shared" si="4"/>
        <v>1033769.2100000001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10778503.129999999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f>11520+13003.6</f>
        <v>24523.599999999999</v>
      </c>
      <c r="H27" s="24">
        <v>28302.6</v>
      </c>
      <c r="I27" s="24">
        <v>15889</v>
      </c>
      <c r="J27" s="24">
        <v>104911.63</v>
      </c>
      <c r="K27" s="24">
        <v>0</v>
      </c>
      <c r="L27" s="24">
        <v>0</v>
      </c>
      <c r="M27" s="24">
        <v>0</v>
      </c>
      <c r="N27" s="24">
        <f t="shared" ref="N27:N37" si="5">SUM(B27:M27)</f>
        <v>425800.98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3450</v>
      </c>
      <c r="H29" s="24">
        <v>0</v>
      </c>
      <c r="I29" s="24">
        <v>0</v>
      </c>
      <c r="J29" s="24">
        <v>113006.38</v>
      </c>
      <c r="K29" s="24">
        <v>0</v>
      </c>
      <c r="L29" s="24">
        <v>0</v>
      </c>
      <c r="M29" s="24">
        <v>0</v>
      </c>
      <c r="N29" s="24">
        <f t="shared" si="5"/>
        <v>335108.58999999997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134921.20000000001</v>
      </c>
      <c r="J31" s="24">
        <v>68149.16</v>
      </c>
      <c r="K31" s="24">
        <v>0</v>
      </c>
      <c r="L31" s="24">
        <v>0</v>
      </c>
      <c r="M31" s="24">
        <v>0</v>
      </c>
      <c r="N31" s="24">
        <f t="shared" si="5"/>
        <v>401704.01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908.6</v>
      </c>
      <c r="H32" s="24">
        <v>205320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209686.46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f>1696600+196900+102494.8+15539.18</f>
        <v>2011533.98</v>
      </c>
      <c r="H33" s="24">
        <v>722294</v>
      </c>
      <c r="I33" s="24">
        <v>702500</v>
      </c>
      <c r="J33" s="24">
        <v>681804</v>
      </c>
      <c r="K33" s="24">
        <v>0</v>
      </c>
      <c r="L33" s="24">
        <v>0</v>
      </c>
      <c r="M33" s="24">
        <v>0</v>
      </c>
      <c r="N33" s="24">
        <f t="shared" si="5"/>
        <v>8126539.9800000004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f>66759.67+211591.35+98395.83+30798+3300.66</f>
        <v>410845.51</v>
      </c>
      <c r="H35" s="24">
        <v>0</v>
      </c>
      <c r="I35" s="24">
        <v>166749.51999999999</v>
      </c>
      <c r="J35" s="24">
        <v>65898.039999999994</v>
      </c>
      <c r="K35" s="24">
        <v>0</v>
      </c>
      <c r="L35" s="24">
        <v>0</v>
      </c>
      <c r="M35" s="24">
        <v>0</v>
      </c>
      <c r="N35" s="24">
        <f t="shared" si="5"/>
        <v>1095547.71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G54+G53+G56+G57</f>
        <v>40374.540000000008</v>
      </c>
      <c r="H52" s="25">
        <f>H53+H57</f>
        <v>0</v>
      </c>
      <c r="I52" s="25">
        <f>I53</f>
        <v>125731.61</v>
      </c>
      <c r="J52" s="25">
        <f>J53+J54</f>
        <v>110936.52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371575.28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8685</v>
      </c>
      <c r="H53" s="24">
        <v>0</v>
      </c>
      <c r="I53" s="24">
        <v>125731.61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220049.22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110936.52</v>
      </c>
      <c r="K54" s="24">
        <v>0</v>
      </c>
      <c r="L54" s="24">
        <v>0</v>
      </c>
      <c r="M54" s="24">
        <v>0</v>
      </c>
      <c r="N54" s="24">
        <f>SUM(B54:M54)</f>
        <v>119836.52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26397.24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26397.24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5292.3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5292.3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8">B63</f>
        <v>0</v>
      </c>
      <c r="C62" s="25">
        <f t="shared" si="8"/>
        <v>0</v>
      </c>
      <c r="D62" s="25">
        <f t="shared" si="8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I62" s="25">
        <f t="shared" si="8"/>
        <v>0</v>
      </c>
      <c r="J62" s="25">
        <f t="shared" si="8"/>
        <v>0</v>
      </c>
      <c r="K62" s="25">
        <f t="shared" si="8"/>
        <v>0</v>
      </c>
      <c r="L62" s="25">
        <f t="shared" si="8"/>
        <v>0</v>
      </c>
      <c r="M62" s="25">
        <f t="shared" si="8"/>
        <v>0</v>
      </c>
      <c r="N62" s="25">
        <f t="shared" si="8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33047756.050000001</v>
      </c>
      <c r="G83" s="26">
        <f>G52+G16+G10+G26</f>
        <v>25202494.370000001</v>
      </c>
      <c r="H83" s="26">
        <f>H52+H16+H10+H26</f>
        <v>22860437.010000002</v>
      </c>
      <c r="I83" s="26">
        <f>I52+I26+I16+I10</f>
        <v>22657354.09</v>
      </c>
      <c r="J83" s="26">
        <f>J52+J26+J16+J10</f>
        <v>22694397.009999998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216920883.99000001</v>
      </c>
    </row>
    <row r="84" spans="1:14" x14ac:dyDescent="0.25">
      <c r="A84" s="37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2024-10-07T13:22:06Z</cp:lastPrinted>
  <dcterms:created xsi:type="dcterms:W3CDTF">2021-07-29T18:58:50Z</dcterms:created>
  <dcterms:modified xsi:type="dcterms:W3CDTF">2024-10-07T13:34:50Z</dcterms:modified>
</cp:coreProperties>
</file>