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4\"/>
    </mc:Choice>
  </mc:AlternateContent>
  <xr:revisionPtr revIDLastSave="0" documentId="13_ncr:1_{E55F7E8B-031E-4527-8E3E-795CD41F227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1">'P2 Presupuesto Aprobado-Ejec '!$1:$8</definedName>
    <definedName name="_xlnm.Print_Titles" localSheetId="2">'P3 Ejecucion 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83" i="2" l="1"/>
  <c r="J15" i="2"/>
  <c r="H21" i="2"/>
  <c r="E54" i="1"/>
  <c r="C52" i="2"/>
  <c r="J33" i="2"/>
  <c r="J27" i="2"/>
  <c r="J25" i="2"/>
  <c r="J21" i="2"/>
  <c r="J17" i="2"/>
  <c r="G16" i="3"/>
  <c r="F17" i="3"/>
  <c r="G35" i="3"/>
  <c r="G27" i="3"/>
  <c r="G25" i="3"/>
  <c r="G24" i="3"/>
  <c r="G23" i="3"/>
  <c r="G52" i="3"/>
  <c r="I16" i="2"/>
  <c r="G26" i="3" l="1"/>
  <c r="G33" i="3"/>
  <c r="G17" i="3"/>
  <c r="G15" i="3"/>
  <c r="G11" i="3"/>
  <c r="F26" i="3"/>
  <c r="F52" i="3"/>
  <c r="F16" i="3"/>
  <c r="F83" i="3" s="1"/>
  <c r="H53" i="2"/>
  <c r="H52" i="2" s="1"/>
  <c r="H35" i="2"/>
  <c r="H27" i="2"/>
  <c r="H22" i="2"/>
  <c r="H17" i="2"/>
  <c r="H16" i="2" s="1"/>
  <c r="H11" i="2"/>
  <c r="H15" i="2"/>
  <c r="P37" i="2"/>
  <c r="E16" i="3"/>
  <c r="E26" i="3"/>
  <c r="G35" i="2"/>
  <c r="G29" i="2"/>
  <c r="G19" i="2"/>
  <c r="G11" i="2"/>
  <c r="G83" i="3" l="1"/>
  <c r="G25" i="2"/>
  <c r="G22" i="2"/>
  <c r="F21" i="2"/>
  <c r="F17" i="2"/>
  <c r="E23" i="2"/>
  <c r="G17" i="2" l="1"/>
  <c r="G16" i="2" s="1"/>
  <c r="G15" i="2"/>
  <c r="E18" i="1"/>
  <c r="F16" i="2"/>
  <c r="N37" i="3" l="1"/>
  <c r="D16" i="3"/>
  <c r="D27" i="3"/>
  <c r="D25" i="3"/>
  <c r="D24" i="3"/>
  <c r="D21" i="3"/>
  <c r="D17" i="3"/>
  <c r="D11" i="3"/>
  <c r="D15" i="3"/>
  <c r="C26" i="3"/>
  <c r="E35" i="2" l="1"/>
  <c r="E27" i="2"/>
  <c r="E25" i="2"/>
  <c r="E17" i="2" l="1"/>
  <c r="E16" i="2" s="1"/>
  <c r="E15" i="2"/>
  <c r="E11" i="2"/>
  <c r="B16" i="3"/>
  <c r="B11" i="2"/>
  <c r="B15" i="2"/>
  <c r="B12" i="2"/>
  <c r="C15" i="2"/>
  <c r="C12" i="2"/>
  <c r="D16" i="2"/>
  <c r="C16" i="3"/>
  <c r="D28" i="1"/>
  <c r="D12" i="1"/>
  <c r="M16" i="3"/>
  <c r="M26" i="3"/>
  <c r="M52" i="3"/>
  <c r="O16" i="2"/>
  <c r="L16" i="3"/>
  <c r="K26" i="3"/>
  <c r="P34" i="2"/>
  <c r="P57" i="2"/>
  <c r="P56" i="2"/>
  <c r="P55" i="2"/>
  <c r="B10" i="2" l="1"/>
  <c r="H16" i="3"/>
  <c r="H52" i="3"/>
  <c r="H26" i="3"/>
  <c r="J16" i="2"/>
  <c r="N62" i="3"/>
  <c r="N45" i="3"/>
  <c r="N36" i="3"/>
  <c r="M62" i="3"/>
  <c r="L62" i="3"/>
  <c r="K62" i="3"/>
  <c r="J62" i="3"/>
  <c r="I62" i="3"/>
  <c r="H62" i="3"/>
  <c r="G62" i="3"/>
  <c r="F62" i="3"/>
  <c r="E62" i="3"/>
  <c r="D62" i="3"/>
  <c r="C62" i="3"/>
  <c r="B62" i="3"/>
  <c r="M45" i="3"/>
  <c r="L45" i="3"/>
  <c r="K45" i="3"/>
  <c r="J45" i="3"/>
  <c r="I45" i="3"/>
  <c r="H45" i="3"/>
  <c r="G45" i="3"/>
  <c r="F45" i="3"/>
  <c r="E45" i="3"/>
  <c r="D45" i="3"/>
  <c r="C45" i="3"/>
  <c r="B45" i="3"/>
  <c r="M36" i="3"/>
  <c r="L36" i="3"/>
  <c r="K36" i="3"/>
  <c r="J36" i="3"/>
  <c r="I36" i="3"/>
  <c r="H36" i="3"/>
  <c r="G36" i="3"/>
  <c r="F36" i="3"/>
  <c r="E36" i="3"/>
  <c r="D36" i="3"/>
  <c r="C36" i="3"/>
  <c r="B36" i="3"/>
  <c r="N12" i="3" l="1"/>
  <c r="N15" i="3"/>
  <c r="N57" i="3"/>
  <c r="N56" i="3"/>
  <c r="E52" i="3"/>
  <c r="K52" i="3"/>
  <c r="D52" i="3"/>
  <c r="C52" i="3"/>
  <c r="B52" i="3"/>
  <c r="B26" i="3"/>
  <c r="B16" i="2"/>
  <c r="D18" i="1" l="1"/>
  <c r="M10" i="3"/>
  <c r="O52" i="2"/>
  <c r="C36" i="2"/>
  <c r="C16" i="2"/>
  <c r="N54" i="3"/>
  <c r="L26" i="3"/>
  <c r="L52" i="3"/>
  <c r="L10" i="3"/>
  <c r="I16" i="3"/>
  <c r="I10" i="3"/>
  <c r="I26" i="3"/>
  <c r="K10" i="3"/>
  <c r="K83" i="3" s="1"/>
  <c r="N35" i="3"/>
  <c r="N33" i="3"/>
  <c r="N32" i="3"/>
  <c r="N31" i="3"/>
  <c r="N30" i="3"/>
  <c r="N29" i="3"/>
  <c r="N28" i="3"/>
  <c r="N27" i="3"/>
  <c r="J52" i="3"/>
  <c r="I52" i="3"/>
  <c r="N53" i="3"/>
  <c r="J26" i="3"/>
  <c r="D26" i="3"/>
  <c r="N25" i="3"/>
  <c r="K16" i="3"/>
  <c r="J16" i="3"/>
  <c r="N24" i="3"/>
  <c r="N23" i="3"/>
  <c r="N22" i="3"/>
  <c r="N21" i="3"/>
  <c r="N20" i="3"/>
  <c r="N19" i="3"/>
  <c r="N18" i="3"/>
  <c r="N17" i="3"/>
  <c r="J10" i="3"/>
  <c r="H10" i="3"/>
  <c r="H83" i="3" s="1"/>
  <c r="G10" i="3"/>
  <c r="F10" i="3"/>
  <c r="E10" i="3"/>
  <c r="D10" i="3"/>
  <c r="D83" i="3" s="1"/>
  <c r="C10" i="3"/>
  <c r="B10" i="3"/>
  <c r="N11" i="3"/>
  <c r="P54" i="2"/>
  <c r="P53" i="2"/>
  <c r="N52" i="2"/>
  <c r="M52" i="2"/>
  <c r="L52" i="2"/>
  <c r="K52" i="2"/>
  <c r="J52" i="2"/>
  <c r="I52" i="2"/>
  <c r="P29" i="2"/>
  <c r="P35" i="2"/>
  <c r="P33" i="2"/>
  <c r="P32" i="2"/>
  <c r="P31" i="2"/>
  <c r="P30" i="2"/>
  <c r="P28" i="2"/>
  <c r="P27" i="2"/>
  <c r="P25" i="2"/>
  <c r="P23" i="2"/>
  <c r="P20" i="2"/>
  <c r="P19" i="2"/>
  <c r="P18" i="2"/>
  <c r="K16" i="2"/>
  <c r="P24" i="2"/>
  <c r="P22" i="2"/>
  <c r="P21" i="2"/>
  <c r="P17" i="2"/>
  <c r="P15" i="2"/>
  <c r="P12" i="2"/>
  <c r="P11" i="2"/>
  <c r="G52" i="2"/>
  <c r="F52" i="2"/>
  <c r="E52" i="2"/>
  <c r="D52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O26" i="2"/>
  <c r="N26" i="2"/>
  <c r="M26" i="2"/>
  <c r="L26" i="2"/>
  <c r="K26" i="2"/>
  <c r="J26" i="2"/>
  <c r="I26" i="2"/>
  <c r="H26" i="2"/>
  <c r="G26" i="2"/>
  <c r="F26" i="2"/>
  <c r="E26" i="2"/>
  <c r="D26" i="2"/>
  <c r="N16" i="2"/>
  <c r="M16" i="2"/>
  <c r="L16" i="2"/>
  <c r="O10" i="2"/>
  <c r="N10" i="2"/>
  <c r="M10" i="2"/>
  <c r="L10" i="2"/>
  <c r="K10" i="2"/>
  <c r="J10" i="2"/>
  <c r="I10" i="2"/>
  <c r="H10" i="2"/>
  <c r="G10" i="2"/>
  <c r="F10" i="2"/>
  <c r="E10" i="2"/>
  <c r="D10" i="2"/>
  <c r="B52" i="2"/>
  <c r="B36" i="2"/>
  <c r="C26" i="2"/>
  <c r="B26" i="2"/>
  <c r="C10" i="2"/>
  <c r="P10" i="2" l="1"/>
  <c r="E83" i="3"/>
  <c r="C83" i="3"/>
  <c r="B83" i="3"/>
  <c r="M83" i="3"/>
  <c r="J83" i="3"/>
  <c r="L83" i="3"/>
  <c r="B83" i="2"/>
  <c r="P52" i="2"/>
  <c r="C83" i="2"/>
  <c r="I83" i="3"/>
  <c r="N26" i="3"/>
  <c r="N10" i="3"/>
  <c r="N16" i="3"/>
  <c r="N52" i="3"/>
  <c r="P26" i="2"/>
  <c r="F83" i="2"/>
  <c r="G83" i="2"/>
  <c r="P16" i="2"/>
  <c r="O83" i="2"/>
  <c r="I83" i="2"/>
  <c r="M83" i="2"/>
  <c r="N83" i="2"/>
  <c r="H83" i="2"/>
  <c r="L83" i="2"/>
  <c r="K83" i="2"/>
  <c r="J83" i="2"/>
  <c r="E83" i="2"/>
  <c r="D83" i="2"/>
  <c r="D54" i="1"/>
  <c r="E38" i="1"/>
  <c r="D38" i="1"/>
  <c r="E28" i="1"/>
  <c r="E12" i="1"/>
  <c r="E85" i="1" l="1"/>
  <c r="N83" i="3"/>
  <c r="D85" i="1"/>
</calcChain>
</file>

<file path=xl/sharedStrings.xml><?xml version="1.0" encoding="utf-8"?>
<sst xmlns="http://schemas.openxmlformats.org/spreadsheetml/2006/main" count="293" uniqueCount="118">
  <si>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</si>
  <si>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</si>
  <si>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</si>
  <si>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</si>
  <si>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</si>
  <si>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</si>
  <si>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</si>
  <si>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</si>
  <si>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</si>
  <si>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</si>
  <si>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</si>
  <si>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</si>
  <si>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</si>
  <si>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</si>
  <si>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</si>
  <si>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</si>
  <si>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</si>
  <si>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</si>
  <si>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</si>
  <si>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</si>
  <si>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</si>
  <si>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</si>
  <si>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</si>
  <si>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</si>
  <si>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</si>
  <si>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</si>
  <si>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</si>
  <si>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</si>
  <si>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</si>
  <si>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</si>
  <si>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</si>
  <si>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</si>
  <si>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</si>
  <si>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</si>
  <si>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</si>
  <si>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</si>
  <si>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</si>
  <si>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</si>
  <si>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</si>
  <si>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</si>
  <si>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</si>
  <si>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</si>
  <si>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</si>
  <si>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</si>
  <si>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</si>
  <si>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</si>
  <si>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</si>
  <si>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</si>
  <si>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</si>
  <si>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</si>
  <si>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</si>
  <si>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</si>
  <si>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</si>
  <si>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</si>
  <si>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</si>
  <si>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</si>
  <si>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</si>
  <si>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</si>
  <si>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</si>
  <si>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</si>
  <si>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</si>
  <si>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</si>
  <si>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</si>
  <si>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</si>
  <si>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</si>
  <si>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</si>
  <si>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</si>
  <si>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</si>
  <si>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</si>
  <si>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</si>
  <si>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</si>
  <si>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</si>
  <si>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</si>
  <si>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</si>
  <si>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</si>
  <si>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</si>
  <si>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</si>
  <si>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</si>
  <si>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</si>
  <si>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</si>
  <si>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</si>
  <si>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</si>
  <si>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</si>
  <si>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</si>
  <si>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</si>
  <si>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</si>
  <si>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</si>
  <si>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</si>
  <si>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</si>
  <si>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</si>
  <si>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</si>
  <si>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</si>
  <si>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</si>
  <si>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</si>
  <si>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</si>
  <si>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</si>
  <si>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</si>
  <si>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</si>
  <si>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SISTEMA UNICO DE BENEFICIARIOS (SIUBEN)</t>
  </si>
  <si>
    <t xml:space="preserve">SISTEMA UNICO DE BENERICIARIOS </t>
  </si>
  <si>
    <t>SISTEMA UNICO DE BENEFICIARIOS</t>
  </si>
  <si>
    <t xml:space="preserve">                                                                                                                             Preparado por:</t>
  </si>
  <si>
    <t xml:space="preserve">                                                                                                                             Autorizado por:</t>
  </si>
  <si>
    <t xml:space="preserve">                                                                                                                              _____________________________</t>
  </si>
  <si>
    <t xml:space="preserve">                                                                                                                      Thelbia Fernández</t>
  </si>
  <si>
    <t xml:space="preserve">                                                                                                                      Giselle Feliz García</t>
  </si>
  <si>
    <t xml:space="preserve">                                                                                                                      Analista de Presupuesto – SIUBEN</t>
  </si>
  <si>
    <t>Humberto Méndez</t>
  </si>
  <si>
    <t xml:space="preserve">                                                                                                                      Director  Administrativo y Financiero</t>
  </si>
  <si>
    <t xml:space="preserve">                                                                                                                 Humberto Méndez</t>
  </si>
  <si>
    <t xml:space="preserve">                                                                                                                     Director Administrativo y Financiero </t>
  </si>
  <si>
    <t>Nota: Reintegros por devolución de subsidio enfermedad común RD$102,784.27</t>
  </si>
  <si>
    <t>GOBIERNO DE LA REPUBLICA DOMINICANA</t>
  </si>
  <si>
    <t>Nota: Reintegros por devolución de subsidio enfermedad común RD$244,209.36</t>
  </si>
  <si>
    <t>Sept</t>
  </si>
  <si>
    <t>Nov</t>
  </si>
  <si>
    <t>Dic</t>
  </si>
  <si>
    <t>Oct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</si>
</sst>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rgb="FF000000"/>
      <name val="Calibri"/>
      <family val="2"/>
    </font>
    <font>
      <b/>
      <i/>
      <sz val="14"/>
      <color rgb="FF000000"/>
      <name val="Calibri"/>
      <family val="2"/>
    </font>
    <font>
      <i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i/>
      <sz val="11"/>
      <name val="Gotham"/>
    </font>
    <font>
      <sz val="18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i/>
      <sz val="10"/>
      <name val="Gotham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164" fontId="2" fillId="2" borderId="2" xfId="0" applyNumberFormat="1" applyFont="1" applyFill="1" applyBorder="1"/>
    <xf numFmtId="4" fontId="0" fillId="0" borderId="0" xfId="0" applyNumberFormat="1"/>
    <xf numFmtId="4" fontId="3" fillId="0" borderId="0" xfId="0" applyNumberFormat="1" applyFont="1"/>
    <xf numFmtId="39" fontId="2" fillId="2" borderId="2" xfId="0" applyNumberFormat="1" applyFont="1" applyFill="1" applyBorder="1"/>
    <xf numFmtId="4" fontId="3" fillId="0" borderId="1" xfId="0" applyNumberFormat="1" applyFont="1" applyBorder="1"/>
    <xf numFmtId="4" fontId="2" fillId="2" borderId="2" xfId="0" applyNumberFormat="1" applyFont="1" applyFill="1" applyBorder="1"/>
    <xf numFmtId="0" fontId="0" fillId="0" borderId="0" xfId="0" applyAlignment="1">
      <alignment horizontal="left" wrapText="1" indent="2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4" fillId="0" borderId="0" xfId="0" applyFont="1"/>
    <xf numFmtId="0" fontId="17" fillId="0" borderId="0" xfId="0" applyFont="1"/>
    <xf numFmtId="0" fontId="8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 readingOrder="1"/>
    </xf>
    <xf numFmtId="0" fontId="15" fillId="0" borderId="0" xfId="0" applyFont="1" applyAlignment="1">
      <alignment horizontal="center" vertical="center" wrapText="1" readingOrder="1"/>
    </xf>
    <xf numFmtId="0" fontId="16" fillId="0" borderId="5" xfId="0" applyFont="1" applyBorder="1" applyAlignment="1">
      <alignment horizontal="center" vertical="top" wrapText="1" readingOrder="1"/>
    </xf>
    <xf numFmtId="0" fontId="16" fillId="0" borderId="0" xfId="0" applyFont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3</xdr:col>
      <xdr:colOff>895351</xdr:colOff>
      <xdr:row>1</xdr:row>
      <xdr:rowOff>123825</xdr:rowOff>
    </xdr:from>
    <xdr:to>
      <xdr:col>5</xdr:col>
      <xdr:colOff>211612</xdr:colOff>
      <xdr:row>5</xdr:row>
      <xdr:rowOff>145050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E5775E90-B854-4179-B077-1E90D1ADF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7376" y="314325"/>
          <a:ext cx="1602261" cy="1040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276225</xdr:colOff>
      <xdr:row>0</xdr:row>
      <xdr:rowOff>152400</xdr:rowOff>
    </xdr:from>
    <xdr:to>
      <xdr:col>15</xdr:col>
      <xdr:colOff>962024</xdr:colOff>
      <xdr:row>4</xdr:row>
      <xdr:rowOff>190500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3773150" y="152400"/>
          <a:ext cx="1885949" cy="962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13</xdr:col>
      <xdr:colOff>428625</xdr:colOff>
      <xdr:row>0</xdr:row>
      <xdr:rowOff>152400</xdr:rowOff>
    </xdr:from>
    <xdr:to>
      <xdr:col>15</xdr:col>
      <xdr:colOff>941228</xdr:colOff>
      <xdr:row>4</xdr:row>
      <xdr:rowOff>142875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5D018C60-409D-4A1F-870D-8A74054A0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25550" y="152400"/>
          <a:ext cx="1617503" cy="914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647700</xdr:colOff>
      <xdr:row>1</xdr:row>
      <xdr:rowOff>171450</xdr:rowOff>
    </xdr:from>
    <xdr:to>
      <xdr:col>13</xdr:col>
      <xdr:colOff>676274</xdr:colOff>
      <xdr:row>4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4687550" y="361950"/>
          <a:ext cx="19430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11</xdr:col>
      <xdr:colOff>647701</xdr:colOff>
      <xdr:row>0</xdr:row>
      <xdr:rowOff>76200</xdr:rowOff>
    </xdr:from>
    <xdr:to>
      <xdr:col>13</xdr:col>
      <xdr:colOff>335437</xdr:colOff>
      <xdr:row>4</xdr:row>
      <xdr:rowOff>97425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F3CF21B3-2F1B-4CBF-9114-D49B204BC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82776" y="76200"/>
          <a:ext cx="1602261" cy="1040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P93"/>
  <sheetViews>
    <sheetView showGridLines="0" topLeftCell="A20" workbookViewId="0">
      <selection activeCell="K75" sqref="K75"/>
    </sheetView>
  </sheetViews>
  <sheetFormatPr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39" t="s">
        <v>112</v>
      </c>
      <c r="D3" s="39"/>
      <c r="E3" s="39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39" t="s">
        <v>98</v>
      </c>
      <c r="D4" s="39"/>
      <c r="E4" s="39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45">
        <v>2024</v>
      </c>
      <c r="D5" s="46"/>
      <c r="E5" s="46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40" t="s">
        <v>76</v>
      </c>
      <c r="D6" s="41"/>
      <c r="E6" s="41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40" t="s">
        <v>77</v>
      </c>
      <c r="D7" s="41"/>
      <c r="E7" s="41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9" spans="2:16" ht="15" customHeight="1" x14ac:dyDescent="0.25">
      <c r="C9" s="42" t="s">
        <v>66</v>
      </c>
      <c r="D9" s="43" t="s">
        <v>94</v>
      </c>
      <c r="E9" s="43" t="s">
        <v>93</v>
      </c>
      <c r="F9" s="8"/>
    </row>
    <row r="10" spans="2:16" ht="23.25" customHeight="1" x14ac:dyDescent="0.25">
      <c r="C10" s="42"/>
      <c r="D10" s="44"/>
      <c r="E10" s="44"/>
      <c r="F10" s="8"/>
    </row>
    <row r="11" spans="2:16" x14ac:dyDescent="0.25">
      <c r="C11" s="1" t="s">
        <v>0</v>
      </c>
      <c r="D11" s="2"/>
      <c r="E11" s="2"/>
      <c r="F11" s="8"/>
    </row>
    <row r="12" spans="2:16" x14ac:dyDescent="0.25">
      <c r="C12" s="3" t="s">
        <v>1</v>
      </c>
      <c r="D12" s="4">
        <f>D13+D14+D17</f>
        <v>220213213</v>
      </c>
      <c r="E12" s="4">
        <f>E13+E14+E17</f>
        <v>220213213</v>
      </c>
      <c r="F12" s="8"/>
    </row>
    <row r="13" spans="2:16" x14ac:dyDescent="0.25">
      <c r="C13" s="5" t="s">
        <v>2</v>
      </c>
      <c r="D13" s="6">
        <v>169461162</v>
      </c>
      <c r="E13" s="6">
        <v>169461162</v>
      </c>
      <c r="F13" s="8"/>
    </row>
    <row r="14" spans="2:16" x14ac:dyDescent="0.25">
      <c r="C14" s="5" t="s">
        <v>3</v>
      </c>
      <c r="D14" s="6">
        <v>28002000</v>
      </c>
      <c r="E14" s="6">
        <v>28002000</v>
      </c>
      <c r="F14" s="8"/>
    </row>
    <row r="15" spans="2:16" x14ac:dyDescent="0.25">
      <c r="C15" s="5" t="s">
        <v>4</v>
      </c>
      <c r="D15" s="6"/>
      <c r="F15" s="8"/>
    </row>
    <row r="16" spans="2:16" x14ac:dyDescent="0.25">
      <c r="C16" s="5" t="s">
        <v>5</v>
      </c>
      <c r="D16" s="6"/>
      <c r="F16" s="8"/>
    </row>
    <row r="17" spans="3:6" x14ac:dyDescent="0.25">
      <c r="C17" s="5" t="s">
        <v>6</v>
      </c>
      <c r="D17" s="6">
        <v>22750051</v>
      </c>
      <c r="E17" s="6">
        <v>22750051</v>
      </c>
      <c r="F17" s="8"/>
    </row>
    <row r="18" spans="3:6" x14ac:dyDescent="0.25">
      <c r="C18" s="3" t="s">
        <v>7</v>
      </c>
      <c r="D18" s="4">
        <f>D19+D20+D21+D22+D23+D24+D25+D26+D27</f>
        <v>78140849</v>
      </c>
      <c r="E18" s="4">
        <f>E19+E20+E21+E22+E23+E24+E25+E26+E27</f>
        <v>90388679</v>
      </c>
      <c r="F18" s="8"/>
    </row>
    <row r="19" spans="3:6" x14ac:dyDescent="0.25">
      <c r="C19" s="5" t="s">
        <v>8</v>
      </c>
      <c r="D19" s="6">
        <v>23080000</v>
      </c>
      <c r="E19" s="6">
        <v>23080000</v>
      </c>
      <c r="F19" s="8"/>
    </row>
    <row r="20" spans="3:6" x14ac:dyDescent="0.25">
      <c r="C20" s="5" t="s">
        <v>9</v>
      </c>
      <c r="D20" s="6">
        <v>515000</v>
      </c>
      <c r="E20" s="6">
        <v>515000</v>
      </c>
      <c r="F20" s="8"/>
    </row>
    <row r="21" spans="3:6" x14ac:dyDescent="0.25">
      <c r="C21" s="5" t="s">
        <v>10</v>
      </c>
      <c r="D21" s="6">
        <v>4200000</v>
      </c>
      <c r="E21" s="6">
        <v>17610000</v>
      </c>
      <c r="F21" s="8"/>
    </row>
    <row r="22" spans="3:6" x14ac:dyDescent="0.25">
      <c r="C22" s="5" t="s">
        <v>11</v>
      </c>
      <c r="D22" s="6">
        <v>2720000</v>
      </c>
      <c r="E22" s="6">
        <v>2850000</v>
      </c>
      <c r="F22" s="8"/>
    </row>
    <row r="23" spans="3:6" x14ac:dyDescent="0.25">
      <c r="C23" s="5" t="s">
        <v>12</v>
      </c>
      <c r="D23" s="6">
        <v>22629000</v>
      </c>
      <c r="E23" s="6">
        <v>21494000</v>
      </c>
    </row>
    <row r="24" spans="3:6" x14ac:dyDescent="0.25">
      <c r="C24" s="5" t="s">
        <v>13</v>
      </c>
      <c r="D24" s="6">
        <v>13300000</v>
      </c>
      <c r="E24" s="6">
        <v>13070830</v>
      </c>
    </row>
    <row r="25" spans="3:6" x14ac:dyDescent="0.25">
      <c r="C25" s="5" t="s">
        <v>14</v>
      </c>
      <c r="D25" s="6">
        <v>4900000</v>
      </c>
      <c r="E25" s="6">
        <v>3335500</v>
      </c>
    </row>
    <row r="26" spans="3:6" x14ac:dyDescent="0.25">
      <c r="C26" s="5" t="s">
        <v>15</v>
      </c>
      <c r="D26" s="6">
        <v>3896849</v>
      </c>
      <c r="E26" s="6">
        <v>4172349</v>
      </c>
    </row>
    <row r="27" spans="3:6" x14ac:dyDescent="0.25">
      <c r="C27" s="5" t="s">
        <v>16</v>
      </c>
      <c r="D27" s="6">
        <v>2900000</v>
      </c>
      <c r="E27" s="6">
        <v>4261000</v>
      </c>
    </row>
    <row r="28" spans="3:6" x14ac:dyDescent="0.25">
      <c r="C28" s="3" t="s">
        <v>17</v>
      </c>
      <c r="D28" s="4">
        <f>D29+D30+D31+D32+D33+D34+D35+D37</f>
        <v>15617678</v>
      </c>
      <c r="E28" s="4">
        <f>E29+E30+E31+E32+E33+E34+E35+E37</f>
        <v>16779848</v>
      </c>
    </row>
    <row r="29" spans="3:6" x14ac:dyDescent="0.25">
      <c r="C29" s="5" t="s">
        <v>18</v>
      </c>
      <c r="D29" s="6">
        <v>665000</v>
      </c>
      <c r="E29" s="6">
        <v>829000</v>
      </c>
    </row>
    <row r="30" spans="3:6" x14ac:dyDescent="0.25">
      <c r="C30" s="5" t="s">
        <v>19</v>
      </c>
      <c r="D30" s="6">
        <v>448000</v>
      </c>
      <c r="E30" s="6">
        <v>450600</v>
      </c>
    </row>
    <row r="31" spans="3:6" x14ac:dyDescent="0.25">
      <c r="C31" s="5" t="s">
        <v>20</v>
      </c>
      <c r="D31" s="6">
        <v>675000</v>
      </c>
      <c r="E31" s="6">
        <v>369000</v>
      </c>
    </row>
    <row r="32" spans="3:6" x14ac:dyDescent="0.25">
      <c r="C32" s="5" t="s">
        <v>21</v>
      </c>
      <c r="D32" s="6">
        <v>10000</v>
      </c>
      <c r="E32" s="6">
        <v>4000</v>
      </c>
    </row>
    <row r="33" spans="3:5" x14ac:dyDescent="0.25">
      <c r="C33" s="5" t="s">
        <v>22</v>
      </c>
      <c r="D33" s="6">
        <v>700000</v>
      </c>
      <c r="E33" s="6">
        <v>565400</v>
      </c>
    </row>
    <row r="34" spans="3:5" x14ac:dyDescent="0.25">
      <c r="C34" s="5" t="s">
        <v>23</v>
      </c>
      <c r="D34" s="6">
        <v>119678</v>
      </c>
      <c r="E34" s="6">
        <v>479678</v>
      </c>
    </row>
    <row r="35" spans="3:5" x14ac:dyDescent="0.25">
      <c r="C35" s="5" t="s">
        <v>24</v>
      </c>
      <c r="D35" s="6">
        <v>11100000</v>
      </c>
      <c r="E35" s="6">
        <v>11390000</v>
      </c>
    </row>
    <row r="36" spans="3:5" x14ac:dyDescent="0.25">
      <c r="C36" s="5" t="s">
        <v>25</v>
      </c>
      <c r="D36" s="6"/>
      <c r="E36" s="6"/>
    </row>
    <row r="37" spans="3:5" x14ac:dyDescent="0.25">
      <c r="C37" s="5" t="s">
        <v>26</v>
      </c>
      <c r="D37" s="6">
        <v>1900000</v>
      </c>
      <c r="E37" s="6">
        <v>2692170</v>
      </c>
    </row>
    <row r="38" spans="3:5" x14ac:dyDescent="0.25">
      <c r="C38" s="3" t="s">
        <v>27</v>
      </c>
      <c r="D38" s="4">
        <f>D39</f>
        <v>50000</v>
      </c>
      <c r="E38" s="4">
        <f>E39</f>
        <v>50000</v>
      </c>
    </row>
    <row r="39" spans="3:5" x14ac:dyDescent="0.25">
      <c r="C39" s="5" t="s">
        <v>28</v>
      </c>
      <c r="D39" s="6">
        <v>50000</v>
      </c>
      <c r="E39" s="6">
        <v>50000</v>
      </c>
    </row>
    <row r="40" spans="3:5" x14ac:dyDescent="0.25">
      <c r="C40" s="5" t="s">
        <v>29</v>
      </c>
      <c r="D40" s="6"/>
    </row>
    <row r="41" spans="3:5" x14ac:dyDescent="0.25">
      <c r="C41" s="5" t="s">
        <v>30</v>
      </c>
      <c r="D41" s="6"/>
    </row>
    <row r="42" spans="3:5" x14ac:dyDescent="0.25">
      <c r="C42" s="5" t="s">
        <v>31</v>
      </c>
      <c r="D42" s="6"/>
    </row>
    <row r="43" spans="3:5" x14ac:dyDescent="0.25">
      <c r="C43" s="5" t="s">
        <v>32</v>
      </c>
      <c r="D43" s="6"/>
    </row>
    <row r="44" spans="3:5" x14ac:dyDescent="0.25">
      <c r="C44" s="5" t="s">
        <v>33</v>
      </c>
      <c r="D44" s="6"/>
    </row>
    <row r="45" spans="3:5" x14ac:dyDescent="0.25">
      <c r="C45" s="5" t="s">
        <v>34</v>
      </c>
      <c r="D45" s="6"/>
    </row>
    <row r="46" spans="3:5" x14ac:dyDescent="0.25">
      <c r="C46" s="5" t="s">
        <v>35</v>
      </c>
      <c r="D46" s="6"/>
    </row>
    <row r="47" spans="3:5" x14ac:dyDescent="0.25">
      <c r="C47" s="3" t="s">
        <v>36</v>
      </c>
      <c r="D47" s="4"/>
    </row>
    <row r="48" spans="3:5" x14ac:dyDescent="0.25">
      <c r="C48" s="5" t="s">
        <v>37</v>
      </c>
      <c r="D48" s="6"/>
    </row>
    <row r="49" spans="3:5" x14ac:dyDescent="0.25">
      <c r="C49" s="5" t="s">
        <v>38</v>
      </c>
      <c r="D49" s="6"/>
    </row>
    <row r="50" spans="3:5" x14ac:dyDescent="0.25">
      <c r="C50" s="5" t="s">
        <v>39</v>
      </c>
      <c r="D50" s="6"/>
    </row>
    <row r="51" spans="3:5" x14ac:dyDescent="0.25">
      <c r="C51" s="5" t="s">
        <v>40</v>
      </c>
      <c r="D51" s="6"/>
    </row>
    <row r="52" spans="3:5" x14ac:dyDescent="0.25">
      <c r="C52" s="5" t="s">
        <v>41</v>
      </c>
      <c r="D52" s="6"/>
    </row>
    <row r="53" spans="3:5" x14ac:dyDescent="0.25">
      <c r="C53" s="5" t="s">
        <v>42</v>
      </c>
      <c r="D53" s="6"/>
    </row>
    <row r="54" spans="3:5" x14ac:dyDescent="0.25">
      <c r="C54" s="3" t="s">
        <v>43</v>
      </c>
      <c r="D54" s="4">
        <f>D55+D58+D59</f>
        <v>3000000</v>
      </c>
      <c r="E54" s="4">
        <f>E55+E58+E59+E56+E62</f>
        <v>3000000</v>
      </c>
    </row>
    <row r="55" spans="3:5" x14ac:dyDescent="0.25">
      <c r="C55" s="5" t="s">
        <v>44</v>
      </c>
      <c r="D55" s="6">
        <v>1900000</v>
      </c>
      <c r="E55" s="6">
        <v>1868000</v>
      </c>
    </row>
    <row r="56" spans="3:5" x14ac:dyDescent="0.25">
      <c r="C56" s="5" t="s">
        <v>45</v>
      </c>
      <c r="D56" s="6"/>
      <c r="E56" s="6">
        <v>125000</v>
      </c>
    </row>
    <row r="57" spans="3:5" x14ac:dyDescent="0.25">
      <c r="C57" s="5" t="s">
        <v>46</v>
      </c>
      <c r="D57" s="6"/>
      <c r="E57" s="6"/>
    </row>
    <row r="58" spans="3:5" x14ac:dyDescent="0.25">
      <c r="C58" s="5" t="s">
        <v>47</v>
      </c>
      <c r="D58" s="6"/>
      <c r="E58" s="6">
        <v>27000</v>
      </c>
    </row>
    <row r="59" spans="3:5" x14ac:dyDescent="0.25">
      <c r="C59" s="5" t="s">
        <v>48</v>
      </c>
      <c r="D59" s="6">
        <v>1100000</v>
      </c>
      <c r="E59" s="6">
        <v>930000</v>
      </c>
    </row>
    <row r="60" spans="3:5" x14ac:dyDescent="0.25">
      <c r="C60" s="5" t="s">
        <v>49</v>
      </c>
      <c r="D60" s="6"/>
    </row>
    <row r="61" spans="3:5" x14ac:dyDescent="0.25">
      <c r="C61" s="5" t="s">
        <v>50</v>
      </c>
      <c r="D61" s="6"/>
    </row>
    <row r="62" spans="3:5" x14ac:dyDescent="0.25">
      <c r="C62" s="5" t="s">
        <v>51</v>
      </c>
      <c r="D62" s="6"/>
      <c r="E62" s="6">
        <v>50000</v>
      </c>
    </row>
    <row r="63" spans="3:5" x14ac:dyDescent="0.25">
      <c r="C63" s="5" t="s">
        <v>52</v>
      </c>
      <c r="D63" s="6"/>
    </row>
    <row r="64" spans="3:5" x14ac:dyDescent="0.25">
      <c r="C64" s="3" t="s">
        <v>53</v>
      </c>
      <c r="D64" s="4"/>
    </row>
    <row r="65" spans="3:5" x14ac:dyDescent="0.25">
      <c r="C65" s="5" t="s">
        <v>54</v>
      </c>
      <c r="D65" s="6"/>
    </row>
    <row r="66" spans="3:5" x14ac:dyDescent="0.25">
      <c r="C66" s="5" t="s">
        <v>55</v>
      </c>
      <c r="D66" s="6"/>
    </row>
    <row r="67" spans="3:5" x14ac:dyDescent="0.25">
      <c r="C67" s="5" t="s">
        <v>56</v>
      </c>
      <c r="D67" s="6"/>
    </row>
    <row r="68" spans="3:5" x14ac:dyDescent="0.25">
      <c r="C68" s="5" t="s">
        <v>57</v>
      </c>
      <c r="D68" s="6"/>
    </row>
    <row r="69" spans="3:5" x14ac:dyDescent="0.25">
      <c r="C69" s="3" t="s">
        <v>58</v>
      </c>
      <c r="D69" s="4"/>
    </row>
    <row r="70" spans="3:5" x14ac:dyDescent="0.25">
      <c r="C70" s="5" t="s">
        <v>59</v>
      </c>
      <c r="D70" s="6"/>
    </row>
    <row r="71" spans="3:5" x14ac:dyDescent="0.25">
      <c r="C71" s="5" t="s">
        <v>60</v>
      </c>
      <c r="D71" s="6"/>
    </row>
    <row r="72" spans="3:5" x14ac:dyDescent="0.25">
      <c r="C72" s="3" t="s">
        <v>61</v>
      </c>
      <c r="D72" s="4"/>
    </row>
    <row r="73" spans="3:5" x14ac:dyDescent="0.25">
      <c r="C73" s="5" t="s">
        <v>62</v>
      </c>
      <c r="D73" s="6"/>
    </row>
    <row r="74" spans="3:5" x14ac:dyDescent="0.25">
      <c r="C74" s="5" t="s">
        <v>63</v>
      </c>
      <c r="D74" s="6"/>
    </row>
    <row r="75" spans="3:5" x14ac:dyDescent="0.25">
      <c r="C75" s="5" t="s">
        <v>64</v>
      </c>
      <c r="D75" s="6"/>
    </row>
    <row r="76" spans="3:5" x14ac:dyDescent="0.25">
      <c r="C76" s="1" t="s">
        <v>67</v>
      </c>
      <c r="D76" s="2"/>
      <c r="E76" s="2"/>
    </row>
    <row r="77" spans="3:5" x14ac:dyDescent="0.25">
      <c r="C77" s="3" t="s">
        <v>68</v>
      </c>
      <c r="D77" s="4"/>
    </row>
    <row r="78" spans="3:5" x14ac:dyDescent="0.25">
      <c r="C78" s="5" t="s">
        <v>69</v>
      </c>
      <c r="D78" s="6"/>
    </row>
    <row r="79" spans="3:5" x14ac:dyDescent="0.25">
      <c r="C79" s="5" t="s">
        <v>70</v>
      </c>
      <c r="D79" s="6"/>
    </row>
    <row r="80" spans="3:5" x14ac:dyDescent="0.25">
      <c r="C80" s="3" t="s">
        <v>71</v>
      </c>
      <c r="D80" s="4"/>
    </row>
    <row r="81" spans="3:5" x14ac:dyDescent="0.25">
      <c r="C81" s="5" t="s">
        <v>72</v>
      </c>
      <c r="D81" s="6"/>
    </row>
    <row r="82" spans="3:5" x14ac:dyDescent="0.25">
      <c r="C82" s="5" t="s">
        <v>73</v>
      </c>
      <c r="D82" s="6"/>
    </row>
    <row r="83" spans="3:5" x14ac:dyDescent="0.25">
      <c r="C83" s="3" t="s">
        <v>74</v>
      </c>
      <c r="D83" s="4"/>
    </row>
    <row r="84" spans="3:5" x14ac:dyDescent="0.25">
      <c r="C84" s="5" t="s">
        <v>75</v>
      </c>
      <c r="D84" s="6"/>
    </row>
    <row r="85" spans="3:5" x14ac:dyDescent="0.25">
      <c r="C85" s="9" t="s">
        <v>65</v>
      </c>
      <c r="D85" s="23">
        <f>D54+D38+D28+D18+D12</f>
        <v>317021740</v>
      </c>
      <c r="E85" s="23">
        <f>E54+E38+E28+E18+E12</f>
        <v>330431740</v>
      </c>
    </row>
    <row r="90" spans="3:5" ht="15.75" thickBot="1" x14ac:dyDescent="0.3"/>
    <row r="91" spans="3:5" ht="26.25" customHeight="1" thickBot="1" x14ac:dyDescent="0.3">
      <c r="C91" s="22" t="s">
        <v>95</v>
      </c>
    </row>
    <row r="92" spans="3:5" ht="33.75" customHeight="1" thickBot="1" x14ac:dyDescent="0.3">
      <c r="C92" s="20" t="s">
        <v>96</v>
      </c>
    </row>
    <row r="93" spans="3:5" ht="60.75" thickBot="1" x14ac:dyDescent="0.3">
      <c r="C93" s="21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31496062992125984" right="0.31496062992125984" top="0.74803149606299213" bottom="0.74803149606299213" header="0.31496062992125984" footer="0.31496062992125984"/>
  <pageSetup scale="4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91"/>
  <sheetViews>
    <sheetView showGridLines="0" tabSelected="1" workbookViewId="0">
      <selection activeCell="E16" sqref="E16"/>
    </sheetView>
  </sheetViews>
  <sheetFormatPr defaultColWidth="11.42578125" defaultRowHeight="15" x14ac:dyDescent="0.25"/>
  <cols>
    <col min="1" max="1" width="43.7109375" customWidth="1"/>
    <col min="2" max="2" width="17.85546875" customWidth="1"/>
    <col min="3" max="3" width="15.28515625" customWidth="1"/>
    <col min="4" max="4" width="13.140625" customWidth="1"/>
    <col min="5" max="5" width="15.140625" customWidth="1"/>
    <col min="6" max="7" width="13.28515625" customWidth="1"/>
    <col min="8" max="8" width="13.7109375" customWidth="1"/>
    <col min="9" max="9" width="13" customWidth="1"/>
    <col min="10" max="10" width="12.85546875" customWidth="1"/>
    <col min="11" max="11" width="13.140625" customWidth="1"/>
    <col min="12" max="12" width="7.7109375" customWidth="1"/>
    <col min="13" max="13" width="6.85546875" customWidth="1"/>
    <col min="14" max="14" width="8.140625" customWidth="1"/>
    <col min="15" max="15" width="8.42578125" customWidth="1"/>
    <col min="16" max="16" width="15.42578125" customWidth="1"/>
  </cols>
  <sheetData>
    <row r="1" spans="1:17" ht="28.5" customHeight="1" x14ac:dyDescent="0.25">
      <c r="A1" s="51" t="s">
        <v>112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7" ht="21" customHeight="1" x14ac:dyDescent="0.25">
      <c r="A2" s="53" t="s">
        <v>99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</row>
    <row r="3" spans="1:17" ht="9.75" customHeight="1" x14ac:dyDescent="0.25">
      <c r="A3" s="45">
        <v>2024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1:17" ht="13.5" customHeight="1" x14ac:dyDescent="0.25">
      <c r="A4" s="40" t="s">
        <v>92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</row>
    <row r="5" spans="1:17" ht="16.5" customHeight="1" x14ac:dyDescent="0.25">
      <c r="A5" s="41" t="s">
        <v>77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</row>
    <row r="6" spans="1:17" ht="6" hidden="1" customHeight="1" x14ac:dyDescent="0.25"/>
    <row r="7" spans="1:17" ht="25.5" customHeight="1" x14ac:dyDescent="0.25">
      <c r="A7" s="42" t="s">
        <v>66</v>
      </c>
      <c r="B7" s="43" t="s">
        <v>94</v>
      </c>
      <c r="C7" s="43" t="s">
        <v>93</v>
      </c>
      <c r="D7" s="48" t="s">
        <v>91</v>
      </c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50"/>
    </row>
    <row r="8" spans="1:17" x14ac:dyDescent="0.25">
      <c r="A8" s="42"/>
      <c r="B8" s="44"/>
      <c r="C8" s="44"/>
      <c r="D8" s="15" t="s">
        <v>79</v>
      </c>
      <c r="E8" s="15" t="s">
        <v>80</v>
      </c>
      <c r="F8" s="15" t="s">
        <v>81</v>
      </c>
      <c r="G8" s="15" t="s">
        <v>82</v>
      </c>
      <c r="H8" s="16" t="s">
        <v>83</v>
      </c>
      <c r="I8" s="15" t="s">
        <v>84</v>
      </c>
      <c r="J8" s="16" t="s">
        <v>85</v>
      </c>
      <c r="K8" s="15" t="s">
        <v>86</v>
      </c>
      <c r="L8" s="15" t="s">
        <v>114</v>
      </c>
      <c r="M8" s="15" t="s">
        <v>117</v>
      </c>
      <c r="N8" s="15" t="s">
        <v>115</v>
      </c>
      <c r="O8" s="16" t="s">
        <v>116</v>
      </c>
      <c r="P8" s="15" t="s">
        <v>78</v>
      </c>
    </row>
    <row r="9" spans="1:17" x14ac:dyDescent="0.25">
      <c r="A9" s="1" t="s">
        <v>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7" x14ac:dyDescent="0.25">
      <c r="A10" s="3" t="s">
        <v>1</v>
      </c>
      <c r="B10" s="25">
        <f>B11+B12+B15</f>
        <v>220213213</v>
      </c>
      <c r="C10" s="25">
        <f>C11+C12+C15</f>
        <v>220213213</v>
      </c>
      <c r="D10" s="25">
        <f t="shared" ref="D10:O10" si="0">D11+D12+D15</f>
        <v>14296930.99</v>
      </c>
      <c r="E10" s="25">
        <f t="shared" si="0"/>
        <v>14372212.880000001</v>
      </c>
      <c r="F10" s="25">
        <f t="shared" si="0"/>
        <v>15495728.01</v>
      </c>
      <c r="G10" s="25">
        <f t="shared" si="0"/>
        <v>14490865.289999999</v>
      </c>
      <c r="H10" s="25">
        <f t="shared" si="0"/>
        <v>26405869.960000001</v>
      </c>
      <c r="I10" s="25">
        <f t="shared" si="0"/>
        <v>14862186.59</v>
      </c>
      <c r="J10" s="25">
        <f t="shared" si="0"/>
        <v>14790923.1</v>
      </c>
      <c r="K10" s="25">
        <f t="shared" si="0"/>
        <v>14902826.799999999</v>
      </c>
      <c r="L10" s="25">
        <f t="shared" si="0"/>
        <v>0</v>
      </c>
      <c r="M10" s="25">
        <f t="shared" si="0"/>
        <v>0</v>
      </c>
      <c r="N10" s="25">
        <f t="shared" si="0"/>
        <v>0</v>
      </c>
      <c r="O10" s="25">
        <f t="shared" si="0"/>
        <v>0</v>
      </c>
      <c r="P10" s="25">
        <f>SUM(D10:O10)</f>
        <v>129617543.61999999</v>
      </c>
    </row>
    <row r="11" spans="1:17" x14ac:dyDescent="0.25">
      <c r="A11" s="5" t="s">
        <v>2</v>
      </c>
      <c r="B11" s="24">
        <f>145407162+6404000+12450000+3700000+1500000</f>
        <v>169461162</v>
      </c>
      <c r="C11" s="24">
        <v>169461162</v>
      </c>
      <c r="D11" s="24">
        <v>12143507.34</v>
      </c>
      <c r="E11" s="24">
        <f>11376807.09+827000</f>
        <v>12203807.09</v>
      </c>
      <c r="F11" s="24">
        <v>13399653.869999999</v>
      </c>
      <c r="G11" s="24">
        <f>11494685.07+563000+286558.37</f>
        <v>12344243.439999999</v>
      </c>
      <c r="H11" s="24">
        <f>11461835.99+400000+690642+297258+11464509.6</f>
        <v>24314245.59</v>
      </c>
      <c r="I11" s="24">
        <v>12681623.6</v>
      </c>
      <c r="J11" s="24">
        <v>12593683.199999999</v>
      </c>
      <c r="K11" s="24">
        <v>12717348.529999999</v>
      </c>
      <c r="L11" s="24">
        <v>0</v>
      </c>
      <c r="M11" s="24">
        <v>0</v>
      </c>
      <c r="N11" s="24">
        <v>0</v>
      </c>
      <c r="O11" s="24">
        <v>0</v>
      </c>
      <c r="P11" s="24">
        <f>SUM(D11:O11)</f>
        <v>112398112.66</v>
      </c>
    </row>
    <row r="12" spans="1:17" x14ac:dyDescent="0.25">
      <c r="A12" s="5" t="s">
        <v>3</v>
      </c>
      <c r="B12" s="24">
        <f>4002000+12000000+12000000</f>
        <v>28002000</v>
      </c>
      <c r="C12" s="24">
        <f>4002000+12000000+12000000</f>
        <v>28002000</v>
      </c>
      <c r="D12" s="24">
        <v>333500</v>
      </c>
      <c r="E12" s="24">
        <v>333500</v>
      </c>
      <c r="F12" s="24">
        <v>333500</v>
      </c>
      <c r="G12" s="24">
        <v>333500</v>
      </c>
      <c r="H12" s="24">
        <v>308500</v>
      </c>
      <c r="I12" s="24">
        <v>308500</v>
      </c>
      <c r="J12" s="24">
        <v>333500</v>
      </c>
      <c r="K12" s="24">
        <v>333500</v>
      </c>
      <c r="L12" s="24">
        <v>0</v>
      </c>
      <c r="M12" s="24">
        <v>0</v>
      </c>
      <c r="N12" s="24">
        <v>0</v>
      </c>
      <c r="O12" s="24">
        <v>0</v>
      </c>
      <c r="P12" s="24">
        <f>SUM(D12:O12)</f>
        <v>2618000</v>
      </c>
    </row>
    <row r="13" spans="1:17" x14ac:dyDescent="0.25">
      <c r="A13" s="5" t="s">
        <v>4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17"/>
    </row>
    <row r="14" spans="1:17" x14ac:dyDescent="0.25">
      <c r="A14" s="5" t="s">
        <v>5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1:17" x14ac:dyDescent="0.25">
      <c r="A15" s="5" t="s">
        <v>6</v>
      </c>
      <c r="B15" s="24">
        <f>10570151+10854000+1325900</f>
        <v>22750051</v>
      </c>
      <c r="C15" s="24">
        <f>10570151+10854000+1325900</f>
        <v>22750051</v>
      </c>
      <c r="D15" s="24">
        <v>1819923.65</v>
      </c>
      <c r="E15" s="24">
        <f>859409.67+866470.3+109025.82</f>
        <v>1834905.7900000003</v>
      </c>
      <c r="F15" s="24">
        <v>1762574.14</v>
      </c>
      <c r="G15" s="24">
        <f>849049.59+856095.62+107976.64</f>
        <v>1813121.8499999999</v>
      </c>
      <c r="H15" s="24">
        <f>835163.87+842190.36+105770.14</f>
        <v>1783124.3699999999</v>
      </c>
      <c r="I15" s="24">
        <v>1872062.99</v>
      </c>
      <c r="J15" s="24">
        <f>872482.14+879561.27+111696.49</f>
        <v>1863739.9000000001</v>
      </c>
      <c r="K15" s="24">
        <v>1851978.27</v>
      </c>
      <c r="L15" s="24">
        <v>0</v>
      </c>
      <c r="M15" s="24">
        <v>0</v>
      </c>
      <c r="N15" s="24">
        <v>0</v>
      </c>
      <c r="O15" s="24">
        <v>0</v>
      </c>
      <c r="P15" s="24">
        <f t="shared" ref="P15:P25" si="1">SUM(D15:O15)</f>
        <v>14601430.959999999</v>
      </c>
    </row>
    <row r="16" spans="1:17" x14ac:dyDescent="0.25">
      <c r="A16" s="3" t="s">
        <v>7</v>
      </c>
      <c r="B16" s="25">
        <f t="shared" ref="B16:G16" si="2">B17+B18+B19+B20+B21+B22+B23+B24+B25</f>
        <v>78140849</v>
      </c>
      <c r="C16" s="25">
        <f t="shared" si="2"/>
        <v>90388679</v>
      </c>
      <c r="D16" s="25">
        <f t="shared" si="2"/>
        <v>6620670.3200000003</v>
      </c>
      <c r="E16" s="25">
        <f t="shared" si="2"/>
        <v>4391463.0600000005</v>
      </c>
      <c r="F16" s="25">
        <f t="shared" si="2"/>
        <v>8824323.0700000003</v>
      </c>
      <c r="G16" s="25">
        <f t="shared" si="2"/>
        <v>7688170.1600000001</v>
      </c>
      <c r="H16" s="25">
        <f>H17+H18+H19+H20+H21+H22+H23+H24+H25</f>
        <v>5483939.25</v>
      </c>
      <c r="I16" s="25">
        <f>I17+I18+I19+I20+I21+I22+I23+I24+I25</f>
        <v>7848671.5499999998</v>
      </c>
      <c r="J16" s="25">
        <f>J17+J18+J19+J20+J21+J22+J23+J24+J25</f>
        <v>7113597.3099999996</v>
      </c>
      <c r="K16" s="25">
        <f>K17+K18+K19+K20+K21+K22+K23+K24+K25</f>
        <v>6608735.9630000005</v>
      </c>
      <c r="L16" s="25">
        <f t="shared" ref="L16:N16" si="3">L17+L18+L19+L20+L21+L22+L23+L24</f>
        <v>0</v>
      </c>
      <c r="M16" s="25">
        <f t="shared" si="3"/>
        <v>0</v>
      </c>
      <c r="N16" s="25">
        <f t="shared" si="3"/>
        <v>0</v>
      </c>
      <c r="O16" s="25">
        <f>O17+O18+O19+O20+O21+O22+O23+O24+O25</f>
        <v>0</v>
      </c>
      <c r="P16" s="25">
        <f t="shared" si="1"/>
        <v>54579570.683000006</v>
      </c>
    </row>
    <row r="17" spans="1:16" x14ac:dyDescent="0.25">
      <c r="A17" s="5" t="s">
        <v>8</v>
      </c>
      <c r="B17" s="24">
        <v>23080000</v>
      </c>
      <c r="C17" s="24">
        <v>23080000</v>
      </c>
      <c r="D17" s="24">
        <v>2305139.54</v>
      </c>
      <c r="E17" s="24">
        <f>435773.34+200867.09+986583.16+572753.39</f>
        <v>2195976.98</v>
      </c>
      <c r="F17" s="24">
        <f>531894.62+219894.11+999645.05+574030.01</f>
        <v>2325463.79</v>
      </c>
      <c r="G17" s="24">
        <f>484997.82+212250.14+991064.55+603000.69</f>
        <v>2291313.2000000002</v>
      </c>
      <c r="H17" s="24">
        <f>474796.68+207121.11+993058.71+598636.33</f>
        <v>2273612.83</v>
      </c>
      <c r="I17" s="24">
        <v>2295791.36</v>
      </c>
      <c r="J17" s="24">
        <f>385113.19+181759.16+994111.87+621525.71</f>
        <v>2182509.9299999997</v>
      </c>
      <c r="K17" s="24">
        <v>2344086.4900000002</v>
      </c>
      <c r="L17" s="24">
        <v>0</v>
      </c>
      <c r="M17" s="24">
        <v>0</v>
      </c>
      <c r="N17" s="24">
        <v>0</v>
      </c>
      <c r="O17" s="24">
        <v>0</v>
      </c>
      <c r="P17" s="24">
        <f t="shared" si="1"/>
        <v>18213894.119999997</v>
      </c>
    </row>
    <row r="18" spans="1:16" x14ac:dyDescent="0.25">
      <c r="A18" s="5" t="s">
        <v>9</v>
      </c>
      <c r="B18" s="24">
        <v>515000</v>
      </c>
      <c r="C18" s="24">
        <v>515000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f t="shared" si="1"/>
        <v>0</v>
      </c>
    </row>
    <row r="19" spans="1:16" x14ac:dyDescent="0.25">
      <c r="A19" s="5" t="s">
        <v>10</v>
      </c>
      <c r="B19" s="24">
        <v>4200000</v>
      </c>
      <c r="C19" s="24">
        <v>17610000</v>
      </c>
      <c r="D19" s="24">
        <v>2686800</v>
      </c>
      <c r="E19" s="24">
        <v>1180200</v>
      </c>
      <c r="F19" s="24">
        <v>2909800</v>
      </c>
      <c r="G19" s="24">
        <f>879200+198000</f>
        <v>1077200</v>
      </c>
      <c r="H19" s="24">
        <v>0</v>
      </c>
      <c r="I19" s="24">
        <v>0</v>
      </c>
      <c r="J19" s="24">
        <v>2028795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f t="shared" si="1"/>
        <v>9882795</v>
      </c>
    </row>
    <row r="20" spans="1:16" x14ac:dyDescent="0.25">
      <c r="A20" s="5" t="s">
        <v>11</v>
      </c>
      <c r="B20" s="24">
        <v>2720000</v>
      </c>
      <c r="C20" s="24">
        <v>2850000</v>
      </c>
      <c r="D20" s="24">
        <v>0</v>
      </c>
      <c r="E20" s="24">
        <v>0</v>
      </c>
      <c r="F20" s="24">
        <v>0</v>
      </c>
      <c r="G20" s="24">
        <v>13000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f t="shared" si="1"/>
        <v>13000</v>
      </c>
    </row>
    <row r="21" spans="1:16" x14ac:dyDescent="0.25">
      <c r="A21" s="5" t="s">
        <v>12</v>
      </c>
      <c r="B21" s="24">
        <v>22629000</v>
      </c>
      <c r="C21" s="24">
        <v>21494000</v>
      </c>
      <c r="D21" s="24">
        <v>1346926.08</v>
      </c>
      <c r="E21" s="24">
        <v>217739.5</v>
      </c>
      <c r="F21" s="24">
        <f>2205964.26+76517.1</f>
        <v>2282481.36</v>
      </c>
      <c r="G21" s="24">
        <v>1670527.88</v>
      </c>
      <c r="H21" s="24">
        <f>1320277.21+357549.12</f>
        <v>1677826.33</v>
      </c>
      <c r="I21" s="24">
        <v>2950844.98</v>
      </c>
      <c r="J21" s="24">
        <f>1320514.55+111850.43</f>
        <v>1432364.98</v>
      </c>
      <c r="K21" s="24">
        <v>2307019.81</v>
      </c>
      <c r="L21" s="24">
        <v>0</v>
      </c>
      <c r="M21" s="24">
        <v>0</v>
      </c>
      <c r="N21" s="24">
        <v>0</v>
      </c>
      <c r="O21" s="24">
        <v>0</v>
      </c>
      <c r="P21" s="24">
        <f t="shared" si="1"/>
        <v>13885730.920000002</v>
      </c>
    </row>
    <row r="22" spans="1:16" x14ac:dyDescent="0.25">
      <c r="A22" s="5" t="s">
        <v>13</v>
      </c>
      <c r="B22" s="24">
        <v>13300000</v>
      </c>
      <c r="C22" s="24">
        <v>13070830</v>
      </c>
      <c r="D22" s="24">
        <v>0</v>
      </c>
      <c r="E22" s="24">
        <v>588468.36</v>
      </c>
      <c r="F22" s="24">
        <v>978800.4</v>
      </c>
      <c r="G22" s="24">
        <f>347489.18+1056336.4</f>
        <v>1403825.5799999998</v>
      </c>
      <c r="H22" s="24">
        <f>1047626.59+289347.5</f>
        <v>1336974.0899999999</v>
      </c>
      <c r="I22" s="24">
        <v>1105871.75</v>
      </c>
      <c r="J22" s="24">
        <v>1071583.1000000001</v>
      </c>
      <c r="K22" s="24">
        <v>1523758.37</v>
      </c>
      <c r="L22" s="24">
        <v>0</v>
      </c>
      <c r="M22" s="24">
        <v>0</v>
      </c>
      <c r="N22" s="24">
        <v>0</v>
      </c>
      <c r="O22" s="24">
        <v>0</v>
      </c>
      <c r="P22" s="24">
        <f t="shared" si="1"/>
        <v>8009281.6499999994</v>
      </c>
    </row>
    <row r="23" spans="1:16" ht="45" x14ac:dyDescent="0.25">
      <c r="A23" s="29" t="s">
        <v>14</v>
      </c>
      <c r="B23" s="24">
        <v>4900000</v>
      </c>
      <c r="C23" s="24">
        <v>3335500</v>
      </c>
      <c r="D23" s="24">
        <v>0</v>
      </c>
      <c r="E23" s="24">
        <f>49135.2+54566.66</f>
        <v>103701.86</v>
      </c>
      <c r="F23" s="24">
        <v>0</v>
      </c>
      <c r="G23" s="24">
        <v>308853.2</v>
      </c>
      <c r="H23" s="24">
        <v>10384</v>
      </c>
      <c r="I23" s="24">
        <v>818779.89</v>
      </c>
      <c r="J23" s="24">
        <v>57741.33</v>
      </c>
      <c r="K23" s="24">
        <v>57741.332999999999</v>
      </c>
      <c r="L23" s="24">
        <v>0</v>
      </c>
      <c r="M23" s="24">
        <v>0</v>
      </c>
      <c r="N23" s="24">
        <v>0</v>
      </c>
      <c r="O23" s="24">
        <v>0</v>
      </c>
      <c r="P23" s="24">
        <f t="shared" si="1"/>
        <v>1357201.6130000001</v>
      </c>
    </row>
    <row r="24" spans="1:16" ht="30" x14ac:dyDescent="0.25">
      <c r="A24" s="29" t="s">
        <v>15</v>
      </c>
      <c r="B24" s="24">
        <v>3896849</v>
      </c>
      <c r="C24" s="24">
        <v>4172349</v>
      </c>
      <c r="D24" s="24">
        <v>0</v>
      </c>
      <c r="E24" s="24">
        <v>26786</v>
      </c>
      <c r="F24" s="24">
        <v>66000</v>
      </c>
      <c r="G24" s="24">
        <v>708000</v>
      </c>
      <c r="H24" s="24">
        <v>4602</v>
      </c>
      <c r="I24" s="24">
        <v>321508</v>
      </c>
      <c r="J24" s="24">
        <v>8614</v>
      </c>
      <c r="K24" s="24">
        <v>125230</v>
      </c>
      <c r="L24" s="24">
        <v>0</v>
      </c>
      <c r="M24" s="24">
        <v>0</v>
      </c>
      <c r="N24" s="24">
        <v>0</v>
      </c>
      <c r="O24" s="24">
        <v>0</v>
      </c>
      <c r="P24" s="24">
        <f t="shared" si="1"/>
        <v>1260740</v>
      </c>
    </row>
    <row r="25" spans="1:16" x14ac:dyDescent="0.25">
      <c r="A25" s="5" t="s">
        <v>16</v>
      </c>
      <c r="B25" s="24">
        <v>2900000</v>
      </c>
      <c r="C25" s="24">
        <v>4261000</v>
      </c>
      <c r="D25" s="24">
        <v>281804.7</v>
      </c>
      <c r="E25" s="24">
        <f>68819.96+9770.4</f>
        <v>78590.36</v>
      </c>
      <c r="F25" s="24">
        <v>261777.52</v>
      </c>
      <c r="G25" s="24">
        <f>157258.6+58191.7</f>
        <v>215450.3</v>
      </c>
      <c r="H25" s="24">
        <v>180540</v>
      </c>
      <c r="I25" s="24">
        <v>355875.57</v>
      </c>
      <c r="J25" s="24">
        <f>233694.97+98294</f>
        <v>331988.96999999997</v>
      </c>
      <c r="K25" s="24">
        <v>250899.96</v>
      </c>
      <c r="L25" s="24">
        <v>0</v>
      </c>
      <c r="M25" s="24">
        <v>0</v>
      </c>
      <c r="N25" s="24">
        <v>0</v>
      </c>
      <c r="O25" s="24">
        <v>0</v>
      </c>
      <c r="P25" s="24">
        <f t="shared" si="1"/>
        <v>1956927.38</v>
      </c>
    </row>
    <row r="26" spans="1:16" x14ac:dyDescent="0.25">
      <c r="A26" s="3" t="s">
        <v>17</v>
      </c>
      <c r="B26" s="25">
        <f>B27+B28+B29+B30+B31+B32+B33+B35</f>
        <v>15617678</v>
      </c>
      <c r="C26" s="25">
        <f>C27+C28+C29+C30+C31+C32+C33+C35</f>
        <v>16779848</v>
      </c>
      <c r="D26" s="25">
        <f t="shared" ref="D26:P26" si="4">D27+D28+D29+D30+D31+D32+D33+D35</f>
        <v>715604</v>
      </c>
      <c r="E26" s="25">
        <f t="shared" si="4"/>
        <v>2060669.4</v>
      </c>
      <c r="F26" s="25">
        <f t="shared" si="4"/>
        <v>195375.4</v>
      </c>
      <c r="G26" s="25">
        <f t="shared" si="4"/>
        <v>1282432.8799999999</v>
      </c>
      <c r="H26" s="25">
        <f t="shared" si="4"/>
        <v>1063414.23</v>
      </c>
      <c r="I26" s="25">
        <f t="shared" si="4"/>
        <v>2451261.69</v>
      </c>
      <c r="J26" s="25">
        <f t="shared" si="4"/>
        <v>955916.6</v>
      </c>
      <c r="K26" s="25">
        <f t="shared" si="4"/>
        <v>1020059.72</v>
      </c>
      <c r="L26" s="25">
        <f t="shared" si="4"/>
        <v>0</v>
      </c>
      <c r="M26" s="25">
        <f t="shared" si="4"/>
        <v>0</v>
      </c>
      <c r="N26" s="25">
        <f t="shared" si="4"/>
        <v>0</v>
      </c>
      <c r="O26" s="25">
        <f t="shared" si="4"/>
        <v>0</v>
      </c>
      <c r="P26" s="25">
        <f t="shared" si="4"/>
        <v>9744733.9199999999</v>
      </c>
    </row>
    <row r="27" spans="1:16" x14ac:dyDescent="0.25">
      <c r="A27" s="5" t="s">
        <v>18</v>
      </c>
      <c r="B27" s="24">
        <v>665000</v>
      </c>
      <c r="C27" s="24">
        <v>829000</v>
      </c>
      <c r="D27" s="24">
        <v>0</v>
      </c>
      <c r="E27" s="24">
        <f>10570+25623.2</f>
        <v>36193.199999999997</v>
      </c>
      <c r="F27" s="24">
        <v>11260</v>
      </c>
      <c r="G27" s="24">
        <v>97335.29</v>
      </c>
      <c r="H27" s="24">
        <f>8260+99125.66</f>
        <v>107385.66</v>
      </c>
      <c r="I27" s="24">
        <v>24523.599999999999</v>
      </c>
      <c r="J27" s="24">
        <f>12880+15422.6</f>
        <v>28302.6</v>
      </c>
      <c r="K27" s="24">
        <v>15889</v>
      </c>
      <c r="L27" s="24">
        <v>0</v>
      </c>
      <c r="M27" s="24">
        <v>0</v>
      </c>
      <c r="N27" s="24">
        <v>0</v>
      </c>
      <c r="O27" s="24">
        <v>0</v>
      </c>
      <c r="P27" s="24">
        <f t="shared" ref="P27:P34" si="5">SUM(D27:O27)</f>
        <v>320889.34999999998</v>
      </c>
    </row>
    <row r="28" spans="1:16" x14ac:dyDescent="0.25">
      <c r="A28" s="5" t="s">
        <v>19</v>
      </c>
      <c r="B28" s="24">
        <v>448000</v>
      </c>
      <c r="C28" s="24">
        <v>450600</v>
      </c>
      <c r="D28" s="24">
        <v>0</v>
      </c>
      <c r="E28" s="24">
        <v>0</v>
      </c>
      <c r="F28" s="24">
        <v>184115.4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f t="shared" si="5"/>
        <v>184115.4</v>
      </c>
    </row>
    <row r="29" spans="1:16" ht="30" x14ac:dyDescent="0.25">
      <c r="A29" s="29" t="s">
        <v>20</v>
      </c>
      <c r="B29" s="24">
        <v>675000</v>
      </c>
      <c r="C29" s="24">
        <v>369000</v>
      </c>
      <c r="D29" s="24">
        <v>0</v>
      </c>
      <c r="E29" s="24">
        <v>0</v>
      </c>
      <c r="F29" s="24">
        <v>0</v>
      </c>
      <c r="G29" s="24">
        <f>58882+159770.21</f>
        <v>218652.21</v>
      </c>
      <c r="H29" s="24">
        <v>0</v>
      </c>
      <c r="I29" s="24">
        <v>3450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f t="shared" si="5"/>
        <v>222102.21</v>
      </c>
    </row>
    <row r="30" spans="1:16" x14ac:dyDescent="0.25">
      <c r="A30" s="5" t="s">
        <v>21</v>
      </c>
      <c r="B30" s="24">
        <v>10000</v>
      </c>
      <c r="C30" s="24">
        <v>4000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f t="shared" si="5"/>
        <v>0</v>
      </c>
    </row>
    <row r="31" spans="1:16" ht="30" x14ac:dyDescent="0.25">
      <c r="A31" s="29" t="s">
        <v>22</v>
      </c>
      <c r="B31" s="24">
        <v>700000</v>
      </c>
      <c r="C31" s="24">
        <v>565400</v>
      </c>
      <c r="D31" s="24">
        <v>0</v>
      </c>
      <c r="E31" s="24">
        <v>0</v>
      </c>
      <c r="F31" s="24">
        <v>0</v>
      </c>
      <c r="G31" s="24">
        <v>198633.65</v>
      </c>
      <c r="H31" s="24">
        <v>0</v>
      </c>
      <c r="I31" s="24">
        <v>0</v>
      </c>
      <c r="J31" s="24">
        <v>0</v>
      </c>
      <c r="K31" s="24">
        <v>134921.20000000001</v>
      </c>
      <c r="L31" s="24">
        <v>0</v>
      </c>
      <c r="M31" s="24">
        <v>0</v>
      </c>
      <c r="N31" s="24">
        <v>0</v>
      </c>
      <c r="O31" s="24">
        <v>0</v>
      </c>
      <c r="P31" s="24">
        <f t="shared" si="5"/>
        <v>333554.84999999998</v>
      </c>
    </row>
    <row r="32" spans="1:16" ht="30" x14ac:dyDescent="0.25">
      <c r="A32" s="29" t="s">
        <v>23</v>
      </c>
      <c r="B32" s="24">
        <v>119678</v>
      </c>
      <c r="C32" s="24">
        <v>479678</v>
      </c>
      <c r="D32" s="24">
        <v>0</v>
      </c>
      <c r="E32" s="24">
        <v>0</v>
      </c>
      <c r="F32" s="24">
        <v>0</v>
      </c>
      <c r="G32" s="24">
        <v>0</v>
      </c>
      <c r="H32" s="24">
        <v>3457.86</v>
      </c>
      <c r="I32" s="24">
        <v>908.6</v>
      </c>
      <c r="J32" s="24">
        <v>205320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f t="shared" si="5"/>
        <v>209686.46</v>
      </c>
    </row>
    <row r="33" spans="1:16" ht="30" x14ac:dyDescent="0.25">
      <c r="A33" s="29" t="s">
        <v>24</v>
      </c>
      <c r="B33" s="24">
        <v>11100000</v>
      </c>
      <c r="C33" s="24">
        <v>11390000</v>
      </c>
      <c r="D33" s="24">
        <v>715604</v>
      </c>
      <c r="E33" s="24">
        <v>1907604</v>
      </c>
      <c r="F33" s="24">
        <v>0</v>
      </c>
      <c r="G33" s="24">
        <v>686600</v>
      </c>
      <c r="H33" s="24">
        <v>698600</v>
      </c>
      <c r="I33" s="24">
        <v>2011533.98</v>
      </c>
      <c r="J33" s="24">
        <f>705500+16794</f>
        <v>722294</v>
      </c>
      <c r="K33" s="24">
        <v>702500</v>
      </c>
      <c r="L33" s="24">
        <v>0</v>
      </c>
      <c r="M33" s="24">
        <v>0</v>
      </c>
      <c r="N33" s="24">
        <v>0</v>
      </c>
      <c r="O33" s="24">
        <v>0</v>
      </c>
      <c r="P33" s="24">
        <f t="shared" si="5"/>
        <v>7444735.9800000004</v>
      </c>
    </row>
    <row r="34" spans="1:16" ht="45" x14ac:dyDescent="0.25">
      <c r="A34" s="29" t="s">
        <v>25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f t="shared" si="5"/>
        <v>0</v>
      </c>
    </row>
    <row r="35" spans="1:16" x14ac:dyDescent="0.25">
      <c r="A35" s="5" t="s">
        <v>26</v>
      </c>
      <c r="B35" s="24">
        <v>1900000</v>
      </c>
      <c r="C35" s="24">
        <v>2692170</v>
      </c>
      <c r="D35" s="24">
        <v>0</v>
      </c>
      <c r="E35" s="24">
        <f>23610.9+93261.3</f>
        <v>116872.20000000001</v>
      </c>
      <c r="F35" s="24">
        <v>0</v>
      </c>
      <c r="G35" s="24">
        <f>61505.73+19706</f>
        <v>81211.73000000001</v>
      </c>
      <c r="H35" s="24">
        <f>65466.4+11151+13715.99+163637.32</f>
        <v>253970.71000000002</v>
      </c>
      <c r="I35" s="24">
        <v>410845.51</v>
      </c>
      <c r="J35" s="24">
        <v>0</v>
      </c>
      <c r="K35" s="24">
        <v>166749.51999999999</v>
      </c>
      <c r="L35" s="24">
        <v>0</v>
      </c>
      <c r="M35" s="24">
        <v>0</v>
      </c>
      <c r="N35" s="24">
        <v>0</v>
      </c>
      <c r="O35" s="24">
        <v>0</v>
      </c>
      <c r="P35" s="24">
        <f>SUM(D35:O35)</f>
        <v>1029649.67</v>
      </c>
    </row>
    <row r="36" spans="1:16" x14ac:dyDescent="0.25">
      <c r="A36" s="3" t="s">
        <v>27</v>
      </c>
      <c r="B36" s="25">
        <f>B37</f>
        <v>50000</v>
      </c>
      <c r="C36" s="25">
        <f>C37</f>
        <v>50000</v>
      </c>
      <c r="D36" s="25">
        <f t="shared" ref="D36:P36" si="6">D37</f>
        <v>0</v>
      </c>
      <c r="E36" s="25">
        <f t="shared" si="6"/>
        <v>0</v>
      </c>
      <c r="F36" s="25">
        <f t="shared" si="6"/>
        <v>24000</v>
      </c>
      <c r="G36" s="25">
        <f t="shared" si="6"/>
        <v>0</v>
      </c>
      <c r="H36" s="25">
        <f t="shared" si="6"/>
        <v>0</v>
      </c>
      <c r="I36" s="25">
        <f t="shared" si="6"/>
        <v>0</v>
      </c>
      <c r="J36" s="25">
        <f t="shared" si="6"/>
        <v>0</v>
      </c>
      <c r="K36" s="25">
        <f t="shared" si="6"/>
        <v>0</v>
      </c>
      <c r="L36" s="25">
        <f t="shared" si="6"/>
        <v>0</v>
      </c>
      <c r="M36" s="25">
        <f t="shared" si="6"/>
        <v>0</v>
      </c>
      <c r="N36" s="25">
        <f t="shared" si="6"/>
        <v>0</v>
      </c>
      <c r="O36" s="25">
        <f t="shared" si="6"/>
        <v>0</v>
      </c>
      <c r="P36" s="25">
        <f t="shared" si="6"/>
        <v>24000</v>
      </c>
    </row>
    <row r="37" spans="1:16" ht="30" x14ac:dyDescent="0.25">
      <c r="A37" s="29" t="s">
        <v>28</v>
      </c>
      <c r="B37" s="24">
        <v>50000</v>
      </c>
      <c r="C37" s="24">
        <v>50000</v>
      </c>
      <c r="D37" s="24">
        <v>0</v>
      </c>
      <c r="E37" s="24">
        <v>0</v>
      </c>
      <c r="F37" s="24">
        <v>24000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f>SUM(D37:O37)</f>
        <v>24000</v>
      </c>
    </row>
    <row r="38" spans="1:16" ht="30" x14ac:dyDescent="0.25">
      <c r="A38" s="29" t="s">
        <v>29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</row>
    <row r="39" spans="1:16" ht="30" x14ac:dyDescent="0.25">
      <c r="A39" s="29" t="s">
        <v>30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</row>
    <row r="40" spans="1:16" ht="30" x14ac:dyDescent="0.25">
      <c r="A40" s="29" t="s">
        <v>31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</row>
    <row r="41" spans="1:16" ht="30" x14ac:dyDescent="0.25">
      <c r="A41" s="29" t="s">
        <v>32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</row>
    <row r="42" spans="1:16" x14ac:dyDescent="0.25">
      <c r="A42" s="5" t="s">
        <v>33</v>
      </c>
      <c r="B42" s="24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</row>
    <row r="43" spans="1:16" ht="30" x14ac:dyDescent="0.25">
      <c r="A43" s="29" t="s">
        <v>34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</row>
    <row r="44" spans="1:16" ht="30" x14ac:dyDescent="0.25">
      <c r="A44" s="29" t="s">
        <v>35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</row>
    <row r="45" spans="1:16" x14ac:dyDescent="0.25">
      <c r="A45" s="3" t="s">
        <v>36</v>
      </c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</row>
    <row r="46" spans="1:16" ht="30" x14ac:dyDescent="0.25">
      <c r="A46" s="29" t="s">
        <v>37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</row>
    <row r="47" spans="1:16" ht="30" x14ac:dyDescent="0.25">
      <c r="A47" s="29" t="s">
        <v>38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</row>
    <row r="48" spans="1:16" ht="30" x14ac:dyDescent="0.25">
      <c r="A48" s="29" t="s">
        <v>39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</row>
    <row r="49" spans="1:16" ht="30" x14ac:dyDescent="0.25">
      <c r="A49" s="29" t="s">
        <v>40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</row>
    <row r="50" spans="1:16" ht="30" x14ac:dyDescent="0.25">
      <c r="A50" s="29" t="s">
        <v>41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</row>
    <row r="51" spans="1:16" ht="30" x14ac:dyDescent="0.25">
      <c r="A51" s="29" t="s">
        <v>42</v>
      </c>
      <c r="B51" s="24">
        <v>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</row>
    <row r="52" spans="1:16" x14ac:dyDescent="0.25">
      <c r="A52" s="3" t="s">
        <v>43</v>
      </c>
      <c r="B52" s="25">
        <f>B53+B56+B57</f>
        <v>3000000</v>
      </c>
      <c r="C52" s="25">
        <f>C53+C56+C57+C54+C60</f>
        <v>3000000</v>
      </c>
      <c r="D52" s="25">
        <f>D53+D56+D57</f>
        <v>0</v>
      </c>
      <c r="E52" s="25">
        <f>E53+E56+E57</f>
        <v>0</v>
      </c>
      <c r="F52" s="25">
        <f>F53+F56+F57</f>
        <v>0</v>
      </c>
      <c r="G52" s="25">
        <f>G53+G56+G57</f>
        <v>0</v>
      </c>
      <c r="H52" s="25">
        <f>H54+H53</f>
        <v>94532.61</v>
      </c>
      <c r="I52" s="25">
        <f t="shared" ref="I52:N52" si="7">I53+I56+I57</f>
        <v>40374.540000000008</v>
      </c>
      <c r="J52" s="25">
        <f t="shared" si="7"/>
        <v>0</v>
      </c>
      <c r="K52" s="25">
        <f t="shared" si="7"/>
        <v>125731.61</v>
      </c>
      <c r="L52" s="25">
        <f t="shared" si="7"/>
        <v>0</v>
      </c>
      <c r="M52" s="25">
        <f t="shared" si="7"/>
        <v>0</v>
      </c>
      <c r="N52" s="25">
        <f t="shared" si="7"/>
        <v>0</v>
      </c>
      <c r="O52" s="25">
        <f>O53+O56+O57+O54</f>
        <v>0</v>
      </c>
      <c r="P52" s="25">
        <f>SUM(D52:O52)</f>
        <v>260638.76</v>
      </c>
    </row>
    <row r="53" spans="1:16" x14ac:dyDescent="0.25">
      <c r="A53" s="5" t="s">
        <v>44</v>
      </c>
      <c r="B53" s="24">
        <v>1900000</v>
      </c>
      <c r="C53" s="24">
        <v>1868000</v>
      </c>
      <c r="D53" s="24">
        <v>0</v>
      </c>
      <c r="E53" s="24">
        <v>0</v>
      </c>
      <c r="F53" s="24">
        <v>0</v>
      </c>
      <c r="G53" s="24">
        <v>0</v>
      </c>
      <c r="H53" s="24">
        <f>52906+32726.61</f>
        <v>85632.61</v>
      </c>
      <c r="I53" s="24">
        <v>8685</v>
      </c>
      <c r="J53" s="24">
        <v>0</v>
      </c>
      <c r="K53" s="24">
        <v>125731.61</v>
      </c>
      <c r="L53" s="24"/>
      <c r="M53" s="24"/>
      <c r="N53" s="24"/>
      <c r="O53" s="24"/>
      <c r="P53" s="24">
        <f>SUM(D53:O53)</f>
        <v>220049.22</v>
      </c>
    </row>
    <row r="54" spans="1:16" ht="30" x14ac:dyDescent="0.25">
      <c r="A54" s="29" t="s">
        <v>45</v>
      </c>
      <c r="B54" s="24">
        <v>0</v>
      </c>
      <c r="C54" s="24">
        <v>125000</v>
      </c>
      <c r="D54" s="24">
        <v>0</v>
      </c>
      <c r="E54" s="24">
        <v>0</v>
      </c>
      <c r="F54" s="24">
        <v>0</v>
      </c>
      <c r="G54" s="24">
        <v>0</v>
      </c>
      <c r="H54" s="24">
        <v>8900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  <c r="O54" s="24">
        <v>0</v>
      </c>
      <c r="P54" s="24">
        <f>SUM(D54:O54)</f>
        <v>8900</v>
      </c>
    </row>
    <row r="55" spans="1:16" ht="30" x14ac:dyDescent="0.25">
      <c r="A55" s="29" t="s">
        <v>46</v>
      </c>
      <c r="B55" s="24">
        <v>0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  <c r="P55" s="24">
        <f t="shared" ref="P55:P57" si="8">SUM(D55:O55)</f>
        <v>0</v>
      </c>
    </row>
    <row r="56" spans="1:16" ht="30" x14ac:dyDescent="0.25">
      <c r="A56" s="29" t="s">
        <v>47</v>
      </c>
      <c r="B56" s="24">
        <v>0</v>
      </c>
      <c r="C56" s="24">
        <v>27000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26397.24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f t="shared" si="8"/>
        <v>26397.24</v>
      </c>
    </row>
    <row r="57" spans="1:16" ht="30" x14ac:dyDescent="0.25">
      <c r="A57" s="29" t="s">
        <v>48</v>
      </c>
      <c r="B57" s="24">
        <v>1100000</v>
      </c>
      <c r="C57" s="24">
        <v>930000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5292.3</v>
      </c>
      <c r="J57" s="24">
        <v>0</v>
      </c>
      <c r="K57" s="24">
        <v>0</v>
      </c>
      <c r="L57" s="24">
        <v>0</v>
      </c>
      <c r="M57" s="24">
        <v>0</v>
      </c>
      <c r="N57" s="24">
        <v>0</v>
      </c>
      <c r="O57" s="24"/>
      <c r="P57" s="24">
        <f t="shared" si="8"/>
        <v>5292.3</v>
      </c>
    </row>
    <row r="58" spans="1:16" x14ac:dyDescent="0.25">
      <c r="A58" s="5" t="s">
        <v>49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  <c r="P58" s="24">
        <v>0</v>
      </c>
    </row>
    <row r="59" spans="1:16" x14ac:dyDescent="0.25">
      <c r="A59" s="5" t="s">
        <v>50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v>0</v>
      </c>
      <c r="O59" s="24">
        <v>0</v>
      </c>
      <c r="P59" s="24">
        <v>0</v>
      </c>
    </row>
    <row r="60" spans="1:16" x14ac:dyDescent="0.25">
      <c r="A60" s="5" t="s">
        <v>51</v>
      </c>
      <c r="B60" s="24">
        <v>0</v>
      </c>
      <c r="C60" s="24">
        <v>50000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24">
        <v>0</v>
      </c>
      <c r="P60" s="24">
        <v>0</v>
      </c>
    </row>
    <row r="61" spans="1:16" x14ac:dyDescent="0.25">
      <c r="A61" s="5" t="s">
        <v>52</v>
      </c>
      <c r="B61" s="24">
        <v>0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24">
        <v>0</v>
      </c>
      <c r="P61" s="24">
        <v>0</v>
      </c>
    </row>
    <row r="62" spans="1:16" x14ac:dyDescent="0.25">
      <c r="A62" s="3" t="s">
        <v>53</v>
      </c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</row>
    <row r="63" spans="1:16" x14ac:dyDescent="0.25">
      <c r="A63" s="5" t="s">
        <v>54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</row>
    <row r="64" spans="1:16" x14ac:dyDescent="0.25">
      <c r="A64" s="5" t="s">
        <v>55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  <c r="O64" s="24">
        <v>0</v>
      </c>
      <c r="P64" s="24">
        <v>0</v>
      </c>
    </row>
    <row r="65" spans="1:16" x14ac:dyDescent="0.25">
      <c r="A65" s="5" t="s">
        <v>56</v>
      </c>
      <c r="B65" s="24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  <c r="O65" s="24">
        <v>0</v>
      </c>
      <c r="P65" s="24">
        <v>0</v>
      </c>
    </row>
    <row r="66" spans="1:16" ht="45" x14ac:dyDescent="0.25">
      <c r="A66" s="29" t="s">
        <v>57</v>
      </c>
      <c r="B66" s="24">
        <v>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  <c r="O66" s="24">
        <v>0</v>
      </c>
      <c r="P66" s="24">
        <v>0</v>
      </c>
    </row>
    <row r="67" spans="1:16" x14ac:dyDescent="0.25">
      <c r="A67" s="3" t="s">
        <v>58</v>
      </c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</row>
    <row r="68" spans="1:16" x14ac:dyDescent="0.25">
      <c r="A68" s="5" t="s">
        <v>59</v>
      </c>
      <c r="B68" s="24">
        <v>0</v>
      </c>
      <c r="C68" s="24">
        <v>0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  <c r="O68" s="24">
        <v>0</v>
      </c>
      <c r="P68" s="24">
        <v>0</v>
      </c>
    </row>
    <row r="69" spans="1:16" ht="30" x14ac:dyDescent="0.25">
      <c r="A69" s="29" t="s">
        <v>60</v>
      </c>
      <c r="B69" s="24">
        <v>0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  <c r="O69" s="24">
        <v>0</v>
      </c>
      <c r="P69" s="24">
        <v>0</v>
      </c>
    </row>
    <row r="70" spans="1:16" x14ac:dyDescent="0.25">
      <c r="A70" s="3" t="s">
        <v>61</v>
      </c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</row>
    <row r="71" spans="1:16" x14ac:dyDescent="0.25">
      <c r="A71" s="5" t="s">
        <v>62</v>
      </c>
      <c r="B71" s="24">
        <v>0</v>
      </c>
      <c r="C71" s="24">
        <v>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  <c r="O71" s="24">
        <v>0</v>
      </c>
      <c r="P71" s="24">
        <v>0</v>
      </c>
    </row>
    <row r="72" spans="1:16" x14ac:dyDescent="0.25">
      <c r="A72" s="5" t="s">
        <v>63</v>
      </c>
      <c r="B72" s="24">
        <v>0</v>
      </c>
      <c r="C72" s="24">
        <v>0</v>
      </c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  <c r="O72" s="24">
        <v>0</v>
      </c>
      <c r="P72" s="24">
        <v>0</v>
      </c>
    </row>
    <row r="73" spans="1:16" ht="30" x14ac:dyDescent="0.25">
      <c r="A73" s="29" t="s">
        <v>64</v>
      </c>
      <c r="B73" s="24">
        <v>0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  <c r="O73" s="24">
        <v>0</v>
      </c>
      <c r="P73" s="24">
        <v>0</v>
      </c>
    </row>
    <row r="74" spans="1:16" x14ac:dyDescent="0.25">
      <c r="A74" s="1" t="s">
        <v>67</v>
      </c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</row>
    <row r="75" spans="1:16" x14ac:dyDescent="0.25">
      <c r="A75" s="3" t="s">
        <v>68</v>
      </c>
      <c r="B75" s="25"/>
      <c r="C75" s="25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</row>
    <row r="76" spans="1:16" x14ac:dyDescent="0.25">
      <c r="A76" s="5" t="s">
        <v>69</v>
      </c>
      <c r="B76" s="24">
        <v>0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  <c r="O76" s="24">
        <v>0</v>
      </c>
      <c r="P76" s="24">
        <v>0</v>
      </c>
    </row>
    <row r="77" spans="1:16" x14ac:dyDescent="0.25">
      <c r="A77" s="5" t="s">
        <v>70</v>
      </c>
      <c r="B77" s="24">
        <v>0</v>
      </c>
      <c r="C77" s="24">
        <v>0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v>0</v>
      </c>
      <c r="K77" s="24">
        <v>0</v>
      </c>
      <c r="L77" s="24">
        <v>0</v>
      </c>
      <c r="M77" s="24">
        <v>0</v>
      </c>
      <c r="N77" s="24">
        <v>0</v>
      </c>
      <c r="O77" s="24">
        <v>0</v>
      </c>
      <c r="P77" s="24">
        <v>0</v>
      </c>
    </row>
    <row r="78" spans="1:16" x14ac:dyDescent="0.25">
      <c r="A78" s="3" t="s">
        <v>71</v>
      </c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</row>
    <row r="79" spans="1:16" x14ac:dyDescent="0.25">
      <c r="A79" s="5" t="s">
        <v>72</v>
      </c>
      <c r="B79" s="24">
        <v>0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</row>
    <row r="80" spans="1:16" x14ac:dyDescent="0.25">
      <c r="A80" s="5" t="s">
        <v>73</v>
      </c>
      <c r="B80" s="24">
        <v>0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</row>
    <row r="81" spans="1:16" x14ac:dyDescent="0.25">
      <c r="A81" s="3" t="s">
        <v>74</v>
      </c>
      <c r="B81" s="25">
        <v>0</v>
      </c>
      <c r="C81" s="25">
        <v>0</v>
      </c>
      <c r="D81" s="25">
        <v>0</v>
      </c>
      <c r="E81" s="25">
        <v>0</v>
      </c>
      <c r="F81" s="25">
        <v>0</v>
      </c>
      <c r="G81" s="25">
        <v>0</v>
      </c>
      <c r="H81" s="25">
        <v>0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  <c r="O81" s="25">
        <v>0</v>
      </c>
      <c r="P81" s="25">
        <v>0</v>
      </c>
    </row>
    <row r="82" spans="1:16" x14ac:dyDescent="0.25">
      <c r="A82" s="5" t="s">
        <v>75</v>
      </c>
      <c r="B82" s="24">
        <v>0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  <c r="O82" s="24">
        <v>0</v>
      </c>
      <c r="P82" s="24">
        <v>0</v>
      </c>
    </row>
    <row r="83" spans="1:16" ht="19.5" customHeight="1" x14ac:dyDescent="0.25">
      <c r="A83" s="9" t="s">
        <v>65</v>
      </c>
      <c r="B83" s="28">
        <f>B52+B36+B26+B16+B10</f>
        <v>317021740</v>
      </c>
      <c r="C83" s="28">
        <f>C52+C36+C26+C16+C10</f>
        <v>330431740</v>
      </c>
      <c r="D83" s="28">
        <f t="shared" ref="D83:O83" si="9">D52+D36+D26+D16+D10</f>
        <v>21633205.310000002</v>
      </c>
      <c r="E83" s="28">
        <f t="shared" si="9"/>
        <v>20824345.340000004</v>
      </c>
      <c r="F83" s="28">
        <f t="shared" si="9"/>
        <v>24539426.48</v>
      </c>
      <c r="G83" s="28">
        <f t="shared" si="9"/>
        <v>23461468.329999998</v>
      </c>
      <c r="H83" s="28">
        <f t="shared" si="9"/>
        <v>33047756.050000001</v>
      </c>
      <c r="I83" s="28">
        <f t="shared" si="9"/>
        <v>25202494.369999997</v>
      </c>
      <c r="J83" s="28">
        <f t="shared" si="9"/>
        <v>22860437.009999998</v>
      </c>
      <c r="K83" s="28">
        <f t="shared" si="9"/>
        <v>22657354.092999998</v>
      </c>
      <c r="L83" s="28">
        <f t="shared" si="9"/>
        <v>0</v>
      </c>
      <c r="M83" s="28">
        <f t="shared" si="9"/>
        <v>0</v>
      </c>
      <c r="N83" s="28">
        <f t="shared" si="9"/>
        <v>0</v>
      </c>
      <c r="O83" s="28">
        <f t="shared" si="9"/>
        <v>0</v>
      </c>
      <c r="P83" s="28">
        <f>P52+P36+P26+P16+P10</f>
        <v>194226486.98299998</v>
      </c>
    </row>
    <row r="84" spans="1:16" ht="15.75" customHeight="1" x14ac:dyDescent="0.25">
      <c r="A84" s="38" t="s">
        <v>111</v>
      </c>
    </row>
    <row r="86" spans="1:16" ht="18.75" x14ac:dyDescent="0.3">
      <c r="A86" s="31"/>
      <c r="B86" s="31" t="s">
        <v>101</v>
      </c>
      <c r="C86" s="30"/>
      <c r="D86" s="30"/>
      <c r="E86" s="30"/>
      <c r="F86" s="31" t="s">
        <v>102</v>
      </c>
      <c r="H86" s="32"/>
      <c r="J86" s="33"/>
      <c r="K86" s="30"/>
    </row>
    <row r="87" spans="1:16" ht="24" customHeight="1" x14ac:dyDescent="0.3">
      <c r="A87" s="34"/>
      <c r="B87" s="34" t="s">
        <v>103</v>
      </c>
      <c r="C87" s="32"/>
      <c r="D87" s="30"/>
      <c r="E87" s="30"/>
      <c r="F87" s="34" t="s">
        <v>103</v>
      </c>
      <c r="H87" s="34"/>
      <c r="I87" s="30"/>
      <c r="J87" s="30"/>
      <c r="K87" s="30"/>
    </row>
    <row r="88" spans="1:16" ht="18.75" x14ac:dyDescent="0.3">
      <c r="A88" s="32"/>
      <c r="B88" s="32" t="s">
        <v>104</v>
      </c>
      <c r="C88" s="32"/>
      <c r="D88" s="30"/>
      <c r="E88" s="30"/>
      <c r="F88" s="32" t="s">
        <v>105</v>
      </c>
      <c r="G88" s="47" t="s">
        <v>107</v>
      </c>
      <c r="H88" s="47"/>
      <c r="I88" s="47"/>
      <c r="J88" s="47"/>
      <c r="K88" s="30"/>
    </row>
    <row r="89" spans="1:16" ht="18.75" x14ac:dyDescent="0.3">
      <c r="A89" s="31"/>
      <c r="B89" s="31" t="s">
        <v>106</v>
      </c>
      <c r="C89" s="31"/>
      <c r="D89" s="30"/>
      <c r="E89" s="30"/>
      <c r="F89" s="31" t="s">
        <v>108</v>
      </c>
      <c r="H89" s="31"/>
      <c r="I89" s="30"/>
      <c r="J89" s="30"/>
      <c r="K89" s="30"/>
    </row>
    <row r="90" spans="1:16" ht="18.75" x14ac:dyDescent="0.3">
      <c r="D90" s="30"/>
      <c r="E90" s="30"/>
      <c r="F90" s="30"/>
      <c r="H90" s="30"/>
      <c r="I90" s="30"/>
      <c r="J90" s="30"/>
      <c r="K90" s="30"/>
    </row>
    <row r="91" spans="1:16" ht="18.75" x14ac:dyDescent="0.25">
      <c r="B91" s="32"/>
    </row>
  </sheetData>
  <mergeCells count="10">
    <mergeCell ref="G88:J88"/>
    <mergeCell ref="A5:P5"/>
    <mergeCell ref="D7:P7"/>
    <mergeCell ref="A1:P1"/>
    <mergeCell ref="A2:P2"/>
    <mergeCell ref="A7:A8"/>
    <mergeCell ref="B7:B8"/>
    <mergeCell ref="C7:C8"/>
    <mergeCell ref="A3:P3"/>
    <mergeCell ref="A4:P4"/>
  </mergeCells>
  <pageMargins left="0" right="0" top="0.19685039370078741" bottom="0.15748031496062992" header="0.31496062992125984" footer="0.31496062992125984"/>
  <pageSetup paperSize="5" scale="75" orientation="landscape" r:id="rId1"/>
  <headerFooter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91"/>
  <sheetViews>
    <sheetView showGridLines="0" topLeftCell="A64" zoomScaleNormal="100" workbookViewId="0">
      <selection activeCell="L86" sqref="L86"/>
    </sheetView>
  </sheetViews>
  <sheetFormatPr defaultColWidth="11.42578125" defaultRowHeight="15" x14ac:dyDescent="0.25"/>
  <cols>
    <col min="1" max="1" width="70.42578125" customWidth="1"/>
    <col min="2" max="2" width="13.28515625" customWidth="1"/>
    <col min="3" max="3" width="14.5703125" customWidth="1"/>
    <col min="4" max="5" width="13.5703125" customWidth="1"/>
    <col min="6" max="6" width="14.140625" customWidth="1"/>
    <col min="7" max="7" width="14.28515625" customWidth="1"/>
    <col min="8" max="8" width="14" customWidth="1"/>
    <col min="9" max="9" width="13.85546875" customWidth="1"/>
    <col min="10" max="10" width="14" customWidth="1"/>
    <col min="11" max="11" width="13.28515625" customWidth="1"/>
    <col min="12" max="12" width="14.5703125" customWidth="1"/>
    <col min="13" max="13" width="14.140625" customWidth="1"/>
    <col min="14" max="14" width="14.5703125" customWidth="1"/>
  </cols>
  <sheetData>
    <row r="2" spans="1:15" ht="28.5" customHeight="1" x14ac:dyDescent="0.25">
      <c r="A2" s="57" t="s">
        <v>112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5" ht="21" customHeight="1" x14ac:dyDescent="0.25">
      <c r="A3" s="55" t="s">
        <v>100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5" ht="15.75" x14ac:dyDescent="0.25">
      <c r="A4" s="45">
        <v>2024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</row>
    <row r="5" spans="1:15" ht="15.75" customHeight="1" x14ac:dyDescent="0.25">
      <c r="A5" s="40" t="s">
        <v>92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</row>
    <row r="6" spans="1:15" ht="15.75" customHeight="1" x14ac:dyDescent="0.25">
      <c r="A6" s="41" t="s">
        <v>77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</row>
    <row r="8" spans="1:15" ht="42.75" customHeight="1" x14ac:dyDescent="0.25">
      <c r="A8" s="7" t="s">
        <v>66</v>
      </c>
      <c r="B8" s="18" t="s">
        <v>79</v>
      </c>
      <c r="C8" s="18" t="s">
        <v>80</v>
      </c>
      <c r="D8" s="18" t="s">
        <v>81</v>
      </c>
      <c r="E8" s="18" t="s">
        <v>82</v>
      </c>
      <c r="F8" s="19" t="s">
        <v>83</v>
      </c>
      <c r="G8" s="18" t="s">
        <v>84</v>
      </c>
      <c r="H8" s="19" t="s">
        <v>85</v>
      </c>
      <c r="I8" s="18" t="s">
        <v>86</v>
      </c>
      <c r="J8" s="35" t="s">
        <v>87</v>
      </c>
      <c r="K8" s="35" t="s">
        <v>88</v>
      </c>
      <c r="L8" s="35" t="s">
        <v>89</v>
      </c>
      <c r="M8" s="35" t="s">
        <v>90</v>
      </c>
      <c r="N8" s="18" t="s">
        <v>78</v>
      </c>
    </row>
    <row r="9" spans="1:15" x14ac:dyDescent="0.25">
      <c r="A9" s="1" t="s">
        <v>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5" x14ac:dyDescent="0.25">
      <c r="A10" s="3" t="s">
        <v>1</v>
      </c>
      <c r="B10" s="25">
        <f>B11+B12+B15</f>
        <v>14296930.99</v>
      </c>
      <c r="C10" s="25">
        <f t="shared" ref="C10:M10" si="0">C11+C12+C15</f>
        <v>14372212.879999999</v>
      </c>
      <c r="D10" s="25">
        <f t="shared" si="0"/>
        <v>15495728.01</v>
      </c>
      <c r="E10" s="25">
        <f t="shared" si="0"/>
        <v>14490865.289999999</v>
      </c>
      <c r="F10" s="25">
        <f t="shared" si="0"/>
        <v>26405869.960000001</v>
      </c>
      <c r="G10" s="25">
        <f t="shared" si="0"/>
        <v>14862186.59</v>
      </c>
      <c r="H10" s="25">
        <f t="shared" si="0"/>
        <v>14790923.1</v>
      </c>
      <c r="I10" s="25">
        <f>I11+I12+I15</f>
        <v>14902826.799999999</v>
      </c>
      <c r="J10" s="25">
        <f t="shared" si="0"/>
        <v>0</v>
      </c>
      <c r="K10" s="25">
        <f t="shared" si="0"/>
        <v>0</v>
      </c>
      <c r="L10" s="25">
        <f t="shared" si="0"/>
        <v>0</v>
      </c>
      <c r="M10" s="25">
        <f t="shared" si="0"/>
        <v>0</v>
      </c>
      <c r="N10" s="25">
        <f>SUM(B10:M10)</f>
        <v>129617543.61999999</v>
      </c>
    </row>
    <row r="11" spans="1:15" ht="17.25" customHeight="1" x14ac:dyDescent="0.25">
      <c r="A11" s="5" t="s">
        <v>2</v>
      </c>
      <c r="B11" s="24">
        <v>12143507.34</v>
      </c>
      <c r="C11" s="24">
        <v>12203807.09</v>
      </c>
      <c r="D11" s="24">
        <f>11075307.09+660500+918000+745846.78</f>
        <v>13399653.869999999</v>
      </c>
      <c r="E11" s="24">
        <v>12344243.439999999</v>
      </c>
      <c r="F11" s="24">
        <v>24314245.59</v>
      </c>
      <c r="G11" s="24">
        <f>11954420.44+490000+57750+179453.16</f>
        <v>12681623.6</v>
      </c>
      <c r="H11" s="24">
        <v>12593683.199999999</v>
      </c>
      <c r="I11" s="24">
        <v>12717348.529999999</v>
      </c>
      <c r="J11" s="24">
        <v>0</v>
      </c>
      <c r="K11" s="24">
        <v>0</v>
      </c>
      <c r="L11" s="24">
        <v>0</v>
      </c>
      <c r="M11" s="24">
        <v>0</v>
      </c>
      <c r="N11" s="24">
        <f>SUM(B11:M11)</f>
        <v>112398112.66</v>
      </c>
    </row>
    <row r="12" spans="1:15" ht="17.25" customHeight="1" x14ac:dyDescent="0.25">
      <c r="A12" s="5" t="s">
        <v>3</v>
      </c>
      <c r="B12" s="24">
        <v>333500</v>
      </c>
      <c r="C12" s="24">
        <v>333500</v>
      </c>
      <c r="D12" s="24">
        <v>333500</v>
      </c>
      <c r="E12" s="24">
        <v>333500</v>
      </c>
      <c r="F12" s="24">
        <v>308500</v>
      </c>
      <c r="G12" s="24">
        <v>308500</v>
      </c>
      <c r="H12" s="24">
        <v>333500</v>
      </c>
      <c r="I12" s="24">
        <v>333500</v>
      </c>
      <c r="J12" s="24">
        <v>0</v>
      </c>
      <c r="K12" s="24">
        <v>0</v>
      </c>
      <c r="L12" s="24">
        <v>0</v>
      </c>
      <c r="M12" s="24">
        <v>0</v>
      </c>
      <c r="N12" s="24">
        <f>SUM(B12:M12)</f>
        <v>2618000</v>
      </c>
    </row>
    <row r="13" spans="1:15" ht="17.25" customHeight="1" x14ac:dyDescent="0.25">
      <c r="A13" s="5" t="s">
        <v>4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17"/>
    </row>
    <row r="14" spans="1:15" ht="17.25" customHeight="1" x14ac:dyDescent="0.25">
      <c r="A14" s="5" t="s">
        <v>5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</row>
    <row r="15" spans="1:15" ht="17.25" customHeight="1" x14ac:dyDescent="0.25">
      <c r="A15" s="5" t="s">
        <v>6</v>
      </c>
      <c r="B15" s="24">
        <v>1819923.65</v>
      </c>
      <c r="C15" s="24">
        <v>1834905.79</v>
      </c>
      <c r="D15" s="24">
        <f>825129.52+833242.3+104202.32</f>
        <v>1762574.1400000001</v>
      </c>
      <c r="E15" s="24">
        <v>1813121.85</v>
      </c>
      <c r="F15" s="24">
        <v>1783124.37</v>
      </c>
      <c r="G15" s="24">
        <f>876469.07+883553.85+112040.07</f>
        <v>1872062.99</v>
      </c>
      <c r="H15" s="24">
        <v>1863739.9</v>
      </c>
      <c r="I15" s="24">
        <v>1851978.27</v>
      </c>
      <c r="J15" s="24">
        <v>0</v>
      </c>
      <c r="K15" s="24">
        <v>0</v>
      </c>
      <c r="L15" s="24">
        <v>0</v>
      </c>
      <c r="M15" s="24">
        <v>0</v>
      </c>
      <c r="N15" s="24">
        <f>SUM(B15:M15)</f>
        <v>14601430.960000001</v>
      </c>
    </row>
    <row r="16" spans="1:15" ht="17.25" customHeight="1" x14ac:dyDescent="0.25">
      <c r="A16" s="3" t="s">
        <v>7</v>
      </c>
      <c r="B16" s="25">
        <f t="shared" ref="B16:I16" si="1">B17+B18+B19+B20+B21+B22+B23+B24+B25</f>
        <v>6620670.3200000003</v>
      </c>
      <c r="C16" s="25">
        <f t="shared" si="1"/>
        <v>4391463.0600000005</v>
      </c>
      <c r="D16" s="25">
        <f t="shared" si="1"/>
        <v>8824323.0700000003</v>
      </c>
      <c r="E16" s="25">
        <f t="shared" si="1"/>
        <v>7688170.1600000001</v>
      </c>
      <c r="F16" s="25">
        <f t="shared" si="1"/>
        <v>5483939.25</v>
      </c>
      <c r="G16" s="25">
        <f>G17+G18+G19+G20+G21+G22+G23+G24+G25</f>
        <v>7848671.5499999998</v>
      </c>
      <c r="H16" s="25">
        <f t="shared" si="1"/>
        <v>7113597.3099999996</v>
      </c>
      <c r="I16" s="25">
        <f t="shared" si="1"/>
        <v>6608735.9600000009</v>
      </c>
      <c r="J16" s="25">
        <f t="shared" ref="J16:K16" si="2">J17+J18+J19+J20+J21+J22+J23+J24</f>
        <v>0</v>
      </c>
      <c r="K16" s="25">
        <f t="shared" si="2"/>
        <v>0</v>
      </c>
      <c r="L16" s="25">
        <f>L17+L18+L19+L20+L21+L22+L23+L24</f>
        <v>0</v>
      </c>
      <c r="M16" s="25">
        <f>M17+M18+M19+M20+M21+M22+M23+M24+M25</f>
        <v>0</v>
      </c>
      <c r="N16" s="25">
        <f>N17+N18+N19+N20+N21+N22+N23+N24+N25</f>
        <v>54579570.68</v>
      </c>
    </row>
    <row r="17" spans="1:14" ht="17.25" customHeight="1" x14ac:dyDescent="0.25">
      <c r="A17" s="5" t="s">
        <v>8</v>
      </c>
      <c r="B17" s="24">
        <v>2305139.54</v>
      </c>
      <c r="C17" s="24">
        <v>2195976.98</v>
      </c>
      <c r="D17" s="24">
        <f>531894.62+219894.11+999645.05+574030.01</f>
        <v>2325463.79</v>
      </c>
      <c r="E17" s="24">
        <v>2291313.2000000002</v>
      </c>
      <c r="F17" s="24">
        <f>474796.68+207121.11+993058.71+598636.33</f>
        <v>2273612.83</v>
      </c>
      <c r="G17" s="24">
        <f>476705.04+203644.1+993567.39+621874.83</f>
        <v>2295791.36</v>
      </c>
      <c r="H17" s="24">
        <v>2182509.9300000002</v>
      </c>
      <c r="I17" s="24">
        <v>2344086.4900000002</v>
      </c>
      <c r="J17" s="24">
        <v>0</v>
      </c>
      <c r="K17" s="24">
        <v>0</v>
      </c>
      <c r="L17" s="24">
        <v>0</v>
      </c>
      <c r="M17" s="24">
        <v>0</v>
      </c>
      <c r="N17" s="24">
        <f>SUM(B17:M17)</f>
        <v>18213894.119999997</v>
      </c>
    </row>
    <row r="18" spans="1:14" ht="17.25" customHeight="1" x14ac:dyDescent="0.25">
      <c r="A18" s="5" t="s">
        <v>9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f t="shared" ref="N18:N23" si="3">SUM(B18:M18)</f>
        <v>0</v>
      </c>
    </row>
    <row r="19" spans="1:14" ht="17.25" customHeight="1" x14ac:dyDescent="0.25">
      <c r="A19" s="5" t="s">
        <v>10</v>
      </c>
      <c r="B19" s="24">
        <v>2686800</v>
      </c>
      <c r="C19" s="24">
        <v>1180200</v>
      </c>
      <c r="D19" s="24">
        <v>2909800</v>
      </c>
      <c r="E19" s="24">
        <v>1077200</v>
      </c>
      <c r="F19" s="24">
        <v>0</v>
      </c>
      <c r="G19" s="24">
        <v>0</v>
      </c>
      <c r="H19" s="24">
        <v>2028795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f t="shared" si="3"/>
        <v>9882795</v>
      </c>
    </row>
    <row r="20" spans="1:14" ht="17.25" customHeight="1" x14ac:dyDescent="0.25">
      <c r="A20" s="5" t="s">
        <v>11</v>
      </c>
      <c r="B20" s="24">
        <v>0</v>
      </c>
      <c r="C20" s="24">
        <v>0</v>
      </c>
      <c r="D20" s="24">
        <v>0</v>
      </c>
      <c r="E20" s="24">
        <v>13000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f t="shared" si="3"/>
        <v>13000</v>
      </c>
    </row>
    <row r="21" spans="1:14" ht="17.25" customHeight="1" x14ac:dyDescent="0.25">
      <c r="A21" s="5" t="s">
        <v>12</v>
      </c>
      <c r="B21" s="24">
        <v>0</v>
      </c>
      <c r="C21" s="24">
        <v>217739.5</v>
      </c>
      <c r="D21" s="24">
        <f>2205964.26+76517.1</f>
        <v>2282481.36</v>
      </c>
      <c r="E21" s="24">
        <v>1670527.88</v>
      </c>
      <c r="F21" s="24">
        <v>1677826.33</v>
      </c>
      <c r="G21" s="24">
        <v>2950844.98</v>
      </c>
      <c r="H21" s="24">
        <v>1432364.98</v>
      </c>
      <c r="I21" s="24">
        <v>2307019.81</v>
      </c>
      <c r="J21" s="24">
        <v>0</v>
      </c>
      <c r="K21" s="24">
        <v>0</v>
      </c>
      <c r="L21" s="24">
        <v>0</v>
      </c>
      <c r="M21" s="24">
        <v>0</v>
      </c>
      <c r="N21" s="24">
        <f t="shared" si="3"/>
        <v>12538804.840000002</v>
      </c>
    </row>
    <row r="22" spans="1:14" ht="17.25" customHeight="1" x14ac:dyDescent="0.25">
      <c r="A22" s="5" t="s">
        <v>13</v>
      </c>
      <c r="B22" s="24">
        <v>1346926.08</v>
      </c>
      <c r="C22" s="24">
        <v>588468.36</v>
      </c>
      <c r="D22" s="24">
        <v>978800.4</v>
      </c>
      <c r="E22" s="24">
        <v>1403825.58</v>
      </c>
      <c r="F22" s="24">
        <v>1336974.0900000001</v>
      </c>
      <c r="G22" s="24">
        <v>1105871.75</v>
      </c>
      <c r="H22" s="24">
        <v>1071583.1000000001</v>
      </c>
      <c r="I22" s="24">
        <v>1523758.37</v>
      </c>
      <c r="J22" s="24">
        <v>0</v>
      </c>
      <c r="K22" s="24">
        <v>0</v>
      </c>
      <c r="L22" s="24">
        <v>0</v>
      </c>
      <c r="M22" s="24">
        <v>0</v>
      </c>
      <c r="N22" s="24">
        <f t="shared" si="3"/>
        <v>9356207.7300000004</v>
      </c>
    </row>
    <row r="23" spans="1:14" ht="27" customHeight="1" x14ac:dyDescent="0.25">
      <c r="A23" s="29" t="s">
        <v>14</v>
      </c>
      <c r="B23" s="24">
        <v>0</v>
      </c>
      <c r="C23" s="24">
        <v>103701.86</v>
      </c>
      <c r="D23" s="24">
        <v>0</v>
      </c>
      <c r="E23" s="24">
        <v>308853.2</v>
      </c>
      <c r="F23" s="24">
        <v>10384</v>
      </c>
      <c r="G23" s="24">
        <f>498555.9+164413.33+155810.66</f>
        <v>818779.89</v>
      </c>
      <c r="H23" s="24">
        <v>57741.33</v>
      </c>
      <c r="I23" s="24">
        <v>57741.33</v>
      </c>
      <c r="J23" s="24">
        <v>0</v>
      </c>
      <c r="K23" s="24">
        <v>0</v>
      </c>
      <c r="L23" s="24">
        <v>0</v>
      </c>
      <c r="M23" s="24">
        <v>0</v>
      </c>
      <c r="N23" s="24">
        <f t="shared" si="3"/>
        <v>1357201.61</v>
      </c>
    </row>
    <row r="24" spans="1:14" ht="17.25" customHeight="1" x14ac:dyDescent="0.25">
      <c r="A24" s="5" t="s">
        <v>15</v>
      </c>
      <c r="B24" s="24">
        <v>0</v>
      </c>
      <c r="C24" s="24">
        <v>26786</v>
      </c>
      <c r="D24" s="24">
        <f>66000</f>
        <v>66000</v>
      </c>
      <c r="E24" s="24">
        <v>708000</v>
      </c>
      <c r="F24" s="24">
        <v>4602</v>
      </c>
      <c r="G24" s="24">
        <f>18408+303100</f>
        <v>321508</v>
      </c>
      <c r="H24" s="24">
        <v>8614</v>
      </c>
      <c r="I24" s="24">
        <v>125230</v>
      </c>
      <c r="J24" s="24">
        <v>0</v>
      </c>
      <c r="K24" s="24">
        <v>0</v>
      </c>
      <c r="L24" s="24">
        <v>0</v>
      </c>
      <c r="M24" s="24">
        <v>0</v>
      </c>
      <c r="N24" s="24">
        <f>SUM(B24:M24)</f>
        <v>1260740</v>
      </c>
    </row>
    <row r="25" spans="1:14" ht="17.25" customHeight="1" x14ac:dyDescent="0.25">
      <c r="A25" s="5" t="s">
        <v>16</v>
      </c>
      <c r="B25" s="24">
        <v>281804.7</v>
      </c>
      <c r="C25" s="24">
        <v>78590.36</v>
      </c>
      <c r="D25" s="24">
        <f>261777.52</f>
        <v>261777.52</v>
      </c>
      <c r="E25" s="24">
        <v>215450.3</v>
      </c>
      <c r="F25" s="24">
        <v>180540</v>
      </c>
      <c r="G25" s="24">
        <f>15458+263339.97+77077.6</f>
        <v>355875.56999999995</v>
      </c>
      <c r="H25" s="24">
        <v>331988.96999999997</v>
      </c>
      <c r="I25" s="24">
        <v>250899.96</v>
      </c>
      <c r="J25" s="24">
        <v>0</v>
      </c>
      <c r="K25" s="24">
        <v>0</v>
      </c>
      <c r="L25" s="24">
        <v>0</v>
      </c>
      <c r="M25" s="24">
        <v>0</v>
      </c>
      <c r="N25" s="24">
        <f>SUM(B25:M25)</f>
        <v>1956927.3799999997</v>
      </c>
    </row>
    <row r="26" spans="1:14" ht="17.25" customHeight="1" x14ac:dyDescent="0.25">
      <c r="A26" s="3" t="s">
        <v>17</v>
      </c>
      <c r="B26" s="25">
        <f>B27+B28+B29+B30+B31+B32+B33</f>
        <v>715604</v>
      </c>
      <c r="C26" s="25">
        <f>C27+C28+C29+C30+C31+C32+C33+C35</f>
        <v>2060669.4</v>
      </c>
      <c r="D26" s="25">
        <f>D27+D28+D29+D30+D31+D32</f>
        <v>195375.4</v>
      </c>
      <c r="E26" s="25">
        <f>E27+E28+E29+E30+E31+E32+E35+E33</f>
        <v>1282432.8799999999</v>
      </c>
      <c r="F26" s="25">
        <f>F27+F28+F29+F30+F31+F32+F33+F35</f>
        <v>1063414.23</v>
      </c>
      <c r="G26" s="25">
        <f>G27+G28+G29+G30+G31+G32+G33+G35</f>
        <v>2451261.69</v>
      </c>
      <c r="H26" s="25">
        <f>H27+H28+H29+H30+H31+H32+H33+H35</f>
        <v>955916.6</v>
      </c>
      <c r="I26" s="25">
        <f>I27+I28+I29+I30+I31+I32+I33+I35</f>
        <v>1020059.72</v>
      </c>
      <c r="J26" s="25">
        <f>J27+J28+J29+J30+J31+J32</f>
        <v>0</v>
      </c>
      <c r="K26" s="25">
        <f>K27+K28+K29+K30+K31+K32+K33+K35</f>
        <v>0</v>
      </c>
      <c r="L26" s="25">
        <f>L27+L28+L29+L30+L31+L32+L33+L35</f>
        <v>0</v>
      </c>
      <c r="M26" s="25">
        <f>M27+M28+M29+M30+M31+M32+M33+M35</f>
        <v>0</v>
      </c>
      <c r="N26" s="25">
        <f>N27+N28+N29+N30+N31+N32+N33+N35</f>
        <v>9744733.9199999999</v>
      </c>
    </row>
    <row r="27" spans="1:14" ht="17.25" customHeight="1" x14ac:dyDescent="0.25">
      <c r="A27" s="5" t="s">
        <v>18</v>
      </c>
      <c r="B27" s="24">
        <v>0</v>
      </c>
      <c r="C27" s="24">
        <v>36193.199999999997</v>
      </c>
      <c r="D27" s="24">
        <f>11260</f>
        <v>11260</v>
      </c>
      <c r="E27" s="24">
        <v>97335.29</v>
      </c>
      <c r="F27" s="24">
        <v>107385.66</v>
      </c>
      <c r="G27" s="24">
        <f>11520+13003.6</f>
        <v>24523.599999999999</v>
      </c>
      <c r="H27" s="24">
        <v>28302.6</v>
      </c>
      <c r="I27" s="24">
        <v>15889</v>
      </c>
      <c r="J27" s="24">
        <v>0</v>
      </c>
      <c r="K27" s="24">
        <v>0</v>
      </c>
      <c r="L27" s="24">
        <v>0</v>
      </c>
      <c r="M27" s="24">
        <v>0</v>
      </c>
      <c r="N27" s="24">
        <f t="shared" ref="N27:N37" si="4">SUM(B27:M27)</f>
        <v>320889.34999999998</v>
      </c>
    </row>
    <row r="28" spans="1:14" ht="17.25" customHeight="1" x14ac:dyDescent="0.25">
      <c r="A28" s="5" t="s">
        <v>19</v>
      </c>
      <c r="B28" s="24">
        <v>0</v>
      </c>
      <c r="C28" s="24">
        <v>0</v>
      </c>
      <c r="D28" s="24">
        <v>184115.4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f t="shared" si="4"/>
        <v>184115.4</v>
      </c>
    </row>
    <row r="29" spans="1:14" ht="17.25" customHeight="1" x14ac:dyDescent="0.25">
      <c r="A29" s="5" t="s">
        <v>20</v>
      </c>
      <c r="B29" s="24">
        <v>0</v>
      </c>
      <c r="C29" s="24">
        <v>0</v>
      </c>
      <c r="D29" s="24">
        <v>0</v>
      </c>
      <c r="E29" s="24">
        <v>218652.21</v>
      </c>
      <c r="F29" s="24">
        <v>0</v>
      </c>
      <c r="G29" s="24">
        <v>3450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f t="shared" si="4"/>
        <v>222102.21</v>
      </c>
    </row>
    <row r="30" spans="1:14" ht="17.25" customHeight="1" x14ac:dyDescent="0.25">
      <c r="A30" s="5" t="s">
        <v>21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f t="shared" si="4"/>
        <v>0</v>
      </c>
    </row>
    <row r="31" spans="1:14" ht="17.25" customHeight="1" x14ac:dyDescent="0.25">
      <c r="A31" s="5" t="s">
        <v>22</v>
      </c>
      <c r="B31" s="24">
        <v>0</v>
      </c>
      <c r="C31" s="24">
        <v>0</v>
      </c>
      <c r="D31" s="24">
        <v>0</v>
      </c>
      <c r="E31" s="24">
        <v>198633.65</v>
      </c>
      <c r="F31" s="24">
        <v>0</v>
      </c>
      <c r="G31" s="24">
        <v>0</v>
      </c>
      <c r="H31" s="24">
        <v>0</v>
      </c>
      <c r="I31" s="24">
        <v>134921.20000000001</v>
      </c>
      <c r="J31" s="24">
        <v>0</v>
      </c>
      <c r="K31" s="24">
        <v>0</v>
      </c>
      <c r="L31" s="24">
        <v>0</v>
      </c>
      <c r="M31" s="24">
        <v>0</v>
      </c>
      <c r="N31" s="24">
        <f t="shared" si="4"/>
        <v>333554.84999999998</v>
      </c>
    </row>
    <row r="32" spans="1:14" ht="17.25" customHeight="1" x14ac:dyDescent="0.25">
      <c r="A32" s="5" t="s">
        <v>23</v>
      </c>
      <c r="B32" s="24">
        <v>0</v>
      </c>
      <c r="C32" s="24">
        <v>0</v>
      </c>
      <c r="D32" s="24">
        <v>0</v>
      </c>
      <c r="E32" s="24">
        <v>0</v>
      </c>
      <c r="F32" s="24">
        <v>3457.86</v>
      </c>
      <c r="G32" s="24">
        <v>908.6</v>
      </c>
      <c r="H32" s="24">
        <v>205320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f t="shared" si="4"/>
        <v>209686.46</v>
      </c>
    </row>
    <row r="33" spans="1:14" ht="17.25" customHeight="1" x14ac:dyDescent="0.25">
      <c r="A33" s="5" t="s">
        <v>24</v>
      </c>
      <c r="B33" s="24">
        <v>715604</v>
      </c>
      <c r="C33" s="24">
        <v>1907604</v>
      </c>
      <c r="D33" s="24">
        <v>0</v>
      </c>
      <c r="E33" s="24">
        <v>686600</v>
      </c>
      <c r="F33" s="24">
        <v>698600</v>
      </c>
      <c r="G33" s="24">
        <f>1696600+196900+102494.8+15539.18</f>
        <v>2011533.98</v>
      </c>
      <c r="H33" s="24">
        <v>722294</v>
      </c>
      <c r="I33" s="24">
        <v>702500</v>
      </c>
      <c r="J33" s="24">
        <v>0</v>
      </c>
      <c r="K33" s="24">
        <v>0</v>
      </c>
      <c r="L33" s="24">
        <v>0</v>
      </c>
      <c r="M33" s="24">
        <v>0</v>
      </c>
      <c r="N33" s="24">
        <f t="shared" si="4"/>
        <v>7444735.9800000004</v>
      </c>
    </row>
    <row r="34" spans="1:14" ht="17.25" customHeight="1" x14ac:dyDescent="0.25">
      <c r="A34" s="5" t="s">
        <v>25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</row>
    <row r="35" spans="1:14" ht="17.25" customHeight="1" x14ac:dyDescent="0.25">
      <c r="A35" s="5" t="s">
        <v>26</v>
      </c>
      <c r="B35" s="24">
        <v>0</v>
      </c>
      <c r="C35" s="24">
        <v>116872.2</v>
      </c>
      <c r="D35" s="24">
        <v>0</v>
      </c>
      <c r="E35" s="24">
        <v>81211.73</v>
      </c>
      <c r="F35" s="24">
        <v>253970.71</v>
      </c>
      <c r="G35" s="24">
        <f>66759.67+211591.35+98395.83+30798+3300.66</f>
        <v>410845.51</v>
      </c>
      <c r="H35" s="24">
        <v>0</v>
      </c>
      <c r="I35" s="24">
        <v>166749.51999999999</v>
      </c>
      <c r="J35" s="24">
        <v>0</v>
      </c>
      <c r="K35" s="24">
        <v>0</v>
      </c>
      <c r="L35" s="24">
        <v>0</v>
      </c>
      <c r="M35" s="24">
        <v>0</v>
      </c>
      <c r="N35" s="24">
        <f t="shared" si="4"/>
        <v>1029649.67</v>
      </c>
    </row>
    <row r="36" spans="1:14" ht="17.25" customHeight="1" x14ac:dyDescent="0.25">
      <c r="A36" s="3" t="s">
        <v>27</v>
      </c>
      <c r="B36" s="25">
        <f t="shared" ref="B36:N36" si="5">B37+B38+B39+B40+B41+B42</f>
        <v>0</v>
      </c>
      <c r="C36" s="25">
        <f t="shared" si="5"/>
        <v>0</v>
      </c>
      <c r="D36" s="25">
        <f t="shared" si="5"/>
        <v>24000</v>
      </c>
      <c r="E36" s="25">
        <f t="shared" si="5"/>
        <v>0</v>
      </c>
      <c r="F36" s="25">
        <f t="shared" si="5"/>
        <v>0</v>
      </c>
      <c r="G36" s="25">
        <f t="shared" si="5"/>
        <v>0</v>
      </c>
      <c r="H36" s="25">
        <f t="shared" si="5"/>
        <v>0</v>
      </c>
      <c r="I36" s="25">
        <f t="shared" si="5"/>
        <v>0</v>
      </c>
      <c r="J36" s="25">
        <f t="shared" si="5"/>
        <v>0</v>
      </c>
      <c r="K36" s="25">
        <f t="shared" si="5"/>
        <v>0</v>
      </c>
      <c r="L36" s="25">
        <f t="shared" si="5"/>
        <v>0</v>
      </c>
      <c r="M36" s="25">
        <f t="shared" si="5"/>
        <v>0</v>
      </c>
      <c r="N36" s="25">
        <f t="shared" si="5"/>
        <v>24000</v>
      </c>
    </row>
    <row r="37" spans="1:14" ht="17.25" customHeight="1" x14ac:dyDescent="0.25">
      <c r="A37" s="5" t="s">
        <v>28</v>
      </c>
      <c r="B37" s="24">
        <v>0</v>
      </c>
      <c r="C37" s="24">
        <v>0</v>
      </c>
      <c r="D37" s="24">
        <v>24000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f t="shared" si="4"/>
        <v>24000</v>
      </c>
    </row>
    <row r="38" spans="1:14" ht="17.25" customHeight="1" x14ac:dyDescent="0.25">
      <c r="A38" s="5" t="s">
        <v>29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</row>
    <row r="39" spans="1:14" ht="17.25" customHeight="1" x14ac:dyDescent="0.25">
      <c r="A39" s="5" t="s">
        <v>30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</row>
    <row r="40" spans="1:14" ht="17.25" customHeight="1" x14ac:dyDescent="0.25">
      <c r="A40" s="5" t="s">
        <v>31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</row>
    <row r="41" spans="1:14" ht="17.25" customHeight="1" x14ac:dyDescent="0.25">
      <c r="A41" s="5" t="s">
        <v>32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</row>
    <row r="42" spans="1:14" ht="17.25" customHeight="1" x14ac:dyDescent="0.25">
      <c r="A42" s="5" t="s">
        <v>33</v>
      </c>
      <c r="B42" s="24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</row>
    <row r="43" spans="1:14" ht="17.25" customHeight="1" x14ac:dyDescent="0.25">
      <c r="A43" s="5" t="s">
        <v>34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</row>
    <row r="44" spans="1:14" ht="17.25" customHeight="1" x14ac:dyDescent="0.25">
      <c r="A44" s="5" t="s">
        <v>35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</row>
    <row r="45" spans="1:14" ht="17.25" customHeight="1" x14ac:dyDescent="0.25">
      <c r="A45" s="3" t="s">
        <v>36</v>
      </c>
      <c r="B45" s="25">
        <f t="shared" ref="B45:N45" si="6">B46</f>
        <v>0</v>
      </c>
      <c r="C45" s="25">
        <f t="shared" si="6"/>
        <v>0</v>
      </c>
      <c r="D45" s="25">
        <f t="shared" si="6"/>
        <v>0</v>
      </c>
      <c r="E45" s="25">
        <f t="shared" si="6"/>
        <v>0</v>
      </c>
      <c r="F45" s="25">
        <f t="shared" si="6"/>
        <v>0</v>
      </c>
      <c r="G45" s="25">
        <f t="shared" si="6"/>
        <v>0</v>
      </c>
      <c r="H45" s="25">
        <f t="shared" si="6"/>
        <v>0</v>
      </c>
      <c r="I45" s="25">
        <f t="shared" si="6"/>
        <v>0</v>
      </c>
      <c r="J45" s="25">
        <f t="shared" si="6"/>
        <v>0</v>
      </c>
      <c r="K45" s="25">
        <f t="shared" si="6"/>
        <v>0</v>
      </c>
      <c r="L45" s="25">
        <f t="shared" si="6"/>
        <v>0</v>
      </c>
      <c r="M45" s="25">
        <f t="shared" si="6"/>
        <v>0</v>
      </c>
      <c r="N45" s="25">
        <f t="shared" si="6"/>
        <v>0</v>
      </c>
    </row>
    <row r="46" spans="1:14" ht="17.25" customHeight="1" x14ac:dyDescent="0.25">
      <c r="A46" s="5" t="s">
        <v>37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</row>
    <row r="47" spans="1:14" ht="17.25" customHeight="1" x14ac:dyDescent="0.25">
      <c r="A47" s="5" t="s">
        <v>38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</row>
    <row r="48" spans="1:14" ht="17.25" customHeight="1" x14ac:dyDescent="0.25">
      <c r="A48" s="5" t="s">
        <v>39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</row>
    <row r="49" spans="1:14" ht="17.25" customHeight="1" x14ac:dyDescent="0.25">
      <c r="A49" s="5" t="s">
        <v>40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</row>
    <row r="50" spans="1:14" ht="17.25" customHeight="1" x14ac:dyDescent="0.25">
      <c r="A50" s="5" t="s">
        <v>41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</row>
    <row r="51" spans="1:14" ht="17.25" customHeight="1" x14ac:dyDescent="0.25">
      <c r="A51" s="5" t="s">
        <v>42</v>
      </c>
      <c r="B51" s="24">
        <v>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</row>
    <row r="52" spans="1:14" ht="17.25" customHeight="1" x14ac:dyDescent="0.25">
      <c r="A52" s="3" t="s">
        <v>43</v>
      </c>
      <c r="B52" s="25">
        <f>B53</f>
        <v>0</v>
      </c>
      <c r="C52" s="25">
        <f>C53</f>
        <v>0</v>
      </c>
      <c r="D52" s="25">
        <f>D53</f>
        <v>0</v>
      </c>
      <c r="E52" s="25">
        <f>E53+E57</f>
        <v>0</v>
      </c>
      <c r="F52" s="25">
        <f>F54+F53</f>
        <v>94532.61</v>
      </c>
      <c r="G52" s="25">
        <f>G54+G53+G56+G57</f>
        <v>40374.540000000008</v>
      </c>
      <c r="H52" s="25">
        <f>H53+H57</f>
        <v>0</v>
      </c>
      <c r="I52" s="25">
        <f>I53</f>
        <v>125731.61</v>
      </c>
      <c r="J52" s="25">
        <f>J53</f>
        <v>0</v>
      </c>
      <c r="K52" s="25">
        <f>K53</f>
        <v>0</v>
      </c>
      <c r="L52" s="25">
        <f>L53</f>
        <v>0</v>
      </c>
      <c r="M52" s="25">
        <f>M53+M54+M57</f>
        <v>0</v>
      </c>
      <c r="N52" s="25">
        <f>SUM(B52:M52)</f>
        <v>260638.76</v>
      </c>
    </row>
    <row r="53" spans="1:14" ht="17.25" customHeight="1" x14ac:dyDescent="0.25">
      <c r="A53" s="5" t="s">
        <v>44</v>
      </c>
      <c r="B53" s="24">
        <v>0</v>
      </c>
      <c r="C53" s="24">
        <v>0</v>
      </c>
      <c r="D53" s="24">
        <v>0</v>
      </c>
      <c r="E53" s="24">
        <v>0</v>
      </c>
      <c r="F53" s="24">
        <v>85632.61</v>
      </c>
      <c r="G53" s="24">
        <v>8685</v>
      </c>
      <c r="H53" s="24">
        <v>0</v>
      </c>
      <c r="I53" s="24">
        <v>125731.61</v>
      </c>
      <c r="J53" s="24">
        <v>0</v>
      </c>
      <c r="K53" s="24">
        <v>0</v>
      </c>
      <c r="L53" s="24">
        <v>0</v>
      </c>
      <c r="M53" s="24">
        <v>0</v>
      </c>
      <c r="N53" s="24">
        <f>SUM(B53:M53)</f>
        <v>220049.22</v>
      </c>
    </row>
    <row r="54" spans="1:14" ht="17.25" customHeight="1" x14ac:dyDescent="0.25">
      <c r="A54" s="5" t="s">
        <v>45</v>
      </c>
      <c r="B54" s="24">
        <v>0</v>
      </c>
      <c r="C54" s="24">
        <v>0</v>
      </c>
      <c r="D54" s="24">
        <v>0</v>
      </c>
      <c r="E54" s="24">
        <v>0</v>
      </c>
      <c r="F54" s="24">
        <v>8900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f>SUM(B54:M54)</f>
        <v>8900</v>
      </c>
    </row>
    <row r="55" spans="1:14" ht="17.25" customHeight="1" x14ac:dyDescent="0.25">
      <c r="A55" s="5" t="s">
        <v>46</v>
      </c>
      <c r="B55" s="24">
        <v>0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</row>
    <row r="56" spans="1:14" ht="17.25" customHeight="1" x14ac:dyDescent="0.25">
      <c r="A56" s="5" t="s">
        <v>47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v>26397.24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f>SUM(B56:M56)</f>
        <v>26397.24</v>
      </c>
    </row>
    <row r="57" spans="1:14" ht="17.25" customHeight="1" x14ac:dyDescent="0.25">
      <c r="A57" s="5" t="s">
        <v>48</v>
      </c>
      <c r="B57" s="24">
        <v>0</v>
      </c>
      <c r="C57" s="24">
        <v>0</v>
      </c>
      <c r="D57" s="24">
        <v>0</v>
      </c>
      <c r="E57" s="24">
        <v>0</v>
      </c>
      <c r="F57" s="24">
        <v>0</v>
      </c>
      <c r="G57" s="24">
        <v>5292.3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f>SUM(B57:M57)</f>
        <v>5292.3</v>
      </c>
    </row>
    <row r="58" spans="1:14" ht="17.25" customHeight="1" x14ac:dyDescent="0.25">
      <c r="A58" s="5" t="s">
        <v>49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ht="17.25" customHeight="1" x14ac:dyDescent="0.25">
      <c r="A59" s="5" t="s">
        <v>50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v>0</v>
      </c>
    </row>
    <row r="60" spans="1:14" ht="17.25" customHeight="1" x14ac:dyDescent="0.25">
      <c r="A60" s="5" t="s">
        <v>51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ht="17.25" customHeight="1" x14ac:dyDescent="0.25">
      <c r="A61" s="5" t="s">
        <v>52</v>
      </c>
      <c r="B61" s="24">
        <v>0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</row>
    <row r="62" spans="1:14" ht="17.25" customHeight="1" x14ac:dyDescent="0.25">
      <c r="A62" s="3" t="s">
        <v>53</v>
      </c>
      <c r="B62" s="25">
        <f t="shared" ref="B62:N62" si="7">B63</f>
        <v>0</v>
      </c>
      <c r="C62" s="25">
        <f t="shared" si="7"/>
        <v>0</v>
      </c>
      <c r="D62" s="25">
        <f t="shared" si="7"/>
        <v>0</v>
      </c>
      <c r="E62" s="25">
        <f t="shared" si="7"/>
        <v>0</v>
      </c>
      <c r="F62" s="25">
        <f t="shared" si="7"/>
        <v>0</v>
      </c>
      <c r="G62" s="25">
        <f t="shared" si="7"/>
        <v>0</v>
      </c>
      <c r="H62" s="25">
        <f t="shared" si="7"/>
        <v>0</v>
      </c>
      <c r="I62" s="25">
        <f t="shared" si="7"/>
        <v>0</v>
      </c>
      <c r="J62" s="25">
        <f t="shared" si="7"/>
        <v>0</v>
      </c>
      <c r="K62" s="25">
        <f t="shared" si="7"/>
        <v>0</v>
      </c>
      <c r="L62" s="25">
        <f t="shared" si="7"/>
        <v>0</v>
      </c>
      <c r="M62" s="25">
        <f t="shared" si="7"/>
        <v>0</v>
      </c>
      <c r="N62" s="25">
        <f t="shared" si="7"/>
        <v>0</v>
      </c>
    </row>
    <row r="63" spans="1:14" ht="17.25" customHeight="1" x14ac:dyDescent="0.25">
      <c r="A63" s="5" t="s">
        <v>54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</row>
    <row r="64" spans="1:14" ht="17.25" customHeight="1" x14ac:dyDescent="0.25">
      <c r="A64" s="5" t="s">
        <v>55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ht="17.25" customHeight="1" x14ac:dyDescent="0.25">
      <c r="A65" s="5" t="s">
        <v>56</v>
      </c>
      <c r="B65" s="24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</row>
    <row r="66" spans="1:14" ht="17.25" customHeight="1" x14ac:dyDescent="0.25">
      <c r="A66" s="5" t="s">
        <v>57</v>
      </c>
      <c r="B66" s="24">
        <v>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ht="17.25" customHeight="1" x14ac:dyDescent="0.25">
      <c r="A67" s="3" t="s">
        <v>58</v>
      </c>
      <c r="B67" s="25">
        <v>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</row>
    <row r="68" spans="1:14" ht="17.25" customHeight="1" x14ac:dyDescent="0.25">
      <c r="A68" s="5" t="s">
        <v>59</v>
      </c>
      <c r="B68" s="24">
        <v>0</v>
      </c>
      <c r="C68" s="24">
        <v>0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</row>
    <row r="69" spans="1:14" ht="17.25" customHeight="1" x14ac:dyDescent="0.25">
      <c r="A69" s="5" t="s">
        <v>60</v>
      </c>
      <c r="B69" s="24">
        <v>0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</row>
    <row r="70" spans="1:14" ht="17.25" customHeight="1" x14ac:dyDescent="0.25">
      <c r="A70" s="3" t="s">
        <v>61</v>
      </c>
      <c r="B70" s="25">
        <v>0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</row>
    <row r="71" spans="1:14" ht="17.25" customHeight="1" x14ac:dyDescent="0.25">
      <c r="A71" s="5" t="s">
        <v>62</v>
      </c>
      <c r="B71" s="24">
        <v>0</v>
      </c>
      <c r="C71" s="24">
        <v>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ht="17.25" customHeight="1" x14ac:dyDescent="0.25">
      <c r="A72" s="5" t="s">
        <v>63</v>
      </c>
      <c r="B72" s="24">
        <v>0</v>
      </c>
      <c r="C72" s="24">
        <v>0</v>
      </c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ht="17.25" customHeight="1" x14ac:dyDescent="0.25">
      <c r="A73" s="5" t="s">
        <v>64</v>
      </c>
      <c r="B73" s="24">
        <v>0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ht="17.25" customHeight="1" x14ac:dyDescent="0.25">
      <c r="A74" s="1" t="s">
        <v>67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v>0</v>
      </c>
      <c r="H74" s="25">
        <v>0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</row>
    <row r="75" spans="1:14" ht="17.25" customHeight="1" x14ac:dyDescent="0.25">
      <c r="A75" s="3" t="s">
        <v>68</v>
      </c>
      <c r="B75" s="25">
        <v>0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</row>
    <row r="76" spans="1:14" ht="17.25" customHeight="1" x14ac:dyDescent="0.25">
      <c r="A76" s="5" t="s">
        <v>69</v>
      </c>
      <c r="B76" s="24">
        <v>0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</row>
    <row r="77" spans="1:14" ht="17.25" customHeight="1" x14ac:dyDescent="0.25">
      <c r="A77" s="5" t="s">
        <v>70</v>
      </c>
      <c r="B77" s="24">
        <v>0</v>
      </c>
      <c r="C77" s="24">
        <v>0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v>0</v>
      </c>
      <c r="K77" s="24">
        <v>0</v>
      </c>
      <c r="L77" s="24">
        <v>0</v>
      </c>
      <c r="M77" s="24">
        <v>0</v>
      </c>
      <c r="N77" s="24">
        <v>0</v>
      </c>
    </row>
    <row r="78" spans="1:14" ht="17.25" customHeight="1" x14ac:dyDescent="0.25">
      <c r="A78" s="3" t="s">
        <v>71</v>
      </c>
      <c r="B78" s="25">
        <v>0</v>
      </c>
      <c r="C78" s="25">
        <v>0</v>
      </c>
      <c r="D78" s="25">
        <v>0</v>
      </c>
      <c r="E78" s="25">
        <v>0</v>
      </c>
      <c r="F78" s="25"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</row>
    <row r="79" spans="1:14" ht="17.25" customHeight="1" x14ac:dyDescent="0.25">
      <c r="A79" s="5" t="s">
        <v>72</v>
      </c>
      <c r="B79" s="24">
        <v>0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</row>
    <row r="80" spans="1:14" ht="17.25" customHeight="1" x14ac:dyDescent="0.25">
      <c r="A80" s="5" t="s">
        <v>73</v>
      </c>
      <c r="B80" s="24">
        <v>0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</row>
    <row r="81" spans="1:14" ht="17.25" customHeight="1" x14ac:dyDescent="0.25">
      <c r="A81" s="3" t="s">
        <v>74</v>
      </c>
      <c r="B81" s="25">
        <v>0</v>
      </c>
      <c r="C81" s="25">
        <v>0</v>
      </c>
      <c r="D81" s="25">
        <v>0</v>
      </c>
      <c r="E81" s="25">
        <v>0</v>
      </c>
      <c r="F81" s="25">
        <v>0</v>
      </c>
      <c r="G81" s="25">
        <v>0</v>
      </c>
      <c r="H81" s="25">
        <v>0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</row>
    <row r="82" spans="1:14" ht="17.25" customHeight="1" x14ac:dyDescent="0.25">
      <c r="A82" s="5" t="s">
        <v>75</v>
      </c>
      <c r="B82" s="24">
        <v>0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</row>
    <row r="83" spans="1:14" x14ac:dyDescent="0.25">
      <c r="A83" s="9" t="s">
        <v>65</v>
      </c>
      <c r="B83" s="26">
        <f>B10+B16+B24+B52+B26</f>
        <v>21633205.310000002</v>
      </c>
      <c r="C83" s="26">
        <f>C52+C16+C10+C26</f>
        <v>20824345.339999996</v>
      </c>
      <c r="D83" s="26">
        <f>D52+D16+D10+D26+D36</f>
        <v>24539426.479999997</v>
      </c>
      <c r="E83" s="26">
        <f>E52+E16+E10+E26</f>
        <v>23461468.329999998</v>
      </c>
      <c r="F83" s="26">
        <f>F52+F16+F10+F26</f>
        <v>33047756.050000001</v>
      </c>
      <c r="G83" s="26">
        <f>G52+G16+G10+G26</f>
        <v>25202494.370000001</v>
      </c>
      <c r="H83" s="26">
        <f>H52+H16+H10+H26</f>
        <v>22860437.010000002</v>
      </c>
      <c r="I83" s="26">
        <f>I52+I26+I16+I10</f>
        <v>22657354.09</v>
      </c>
      <c r="J83" s="26">
        <f>J52+J16+J10</f>
        <v>0</v>
      </c>
      <c r="K83" s="26">
        <f>K52+K16+K10+K26</f>
        <v>0</v>
      </c>
      <c r="L83" s="26">
        <f>L52+L16+L10+L26</f>
        <v>0</v>
      </c>
      <c r="M83" s="26">
        <f>M10+M16+M52+M26</f>
        <v>0</v>
      </c>
      <c r="N83" s="26">
        <f>N52+N26+N16+N10+N36</f>
        <v>194226486.97999999</v>
      </c>
    </row>
    <row r="84" spans="1:14" x14ac:dyDescent="0.25">
      <c r="A84" s="37" t="s">
        <v>113</v>
      </c>
    </row>
    <row r="85" spans="1:14" x14ac:dyDescent="0.25">
      <c r="A85" s="37"/>
    </row>
    <row r="86" spans="1:14" ht="18.75" x14ac:dyDescent="0.3">
      <c r="A86" s="31" t="s">
        <v>101</v>
      </c>
      <c r="B86" s="30"/>
      <c r="C86" s="30"/>
      <c r="D86" s="30"/>
      <c r="E86" s="31" t="s">
        <v>102</v>
      </c>
      <c r="G86" s="32"/>
      <c r="I86" s="33"/>
      <c r="J86" s="30"/>
    </row>
    <row r="87" spans="1:14" ht="47.25" customHeight="1" x14ac:dyDescent="0.3">
      <c r="A87" s="34" t="s">
        <v>103</v>
      </c>
      <c r="B87" s="32"/>
      <c r="C87" s="30"/>
      <c r="D87" s="30"/>
      <c r="E87" s="34" t="s">
        <v>103</v>
      </c>
      <c r="G87" s="34"/>
      <c r="H87" s="30"/>
      <c r="I87" s="30"/>
      <c r="J87" s="30"/>
    </row>
    <row r="88" spans="1:14" ht="18.75" x14ac:dyDescent="0.3">
      <c r="A88" s="32" t="s">
        <v>104</v>
      </c>
      <c r="B88" s="32"/>
      <c r="C88" s="30"/>
      <c r="D88" s="30"/>
      <c r="E88" s="32" t="s">
        <v>109</v>
      </c>
      <c r="F88" s="36"/>
      <c r="G88" s="36"/>
      <c r="H88" s="36"/>
      <c r="I88" s="36"/>
      <c r="J88" s="30"/>
    </row>
    <row r="89" spans="1:14" ht="18.75" x14ac:dyDescent="0.3">
      <c r="A89" s="32" t="s">
        <v>106</v>
      </c>
      <c r="B89" s="32"/>
      <c r="C89" s="30"/>
      <c r="D89" s="30"/>
      <c r="E89" s="32" t="s">
        <v>110</v>
      </c>
      <c r="G89" s="32"/>
      <c r="H89" s="30"/>
      <c r="I89" s="30"/>
      <c r="J89" s="30"/>
    </row>
    <row r="90" spans="1:14" ht="18.75" x14ac:dyDescent="0.3">
      <c r="C90" s="30"/>
      <c r="D90" s="30"/>
      <c r="E90" s="30"/>
      <c r="G90" s="30"/>
      <c r="H90" s="30"/>
      <c r="I90" s="30"/>
      <c r="J90" s="30"/>
    </row>
    <row r="91" spans="1:14" ht="18.75" x14ac:dyDescent="0.25">
      <c r="A91" s="32"/>
    </row>
  </sheetData>
  <mergeCells count="5">
    <mergeCell ref="A3:N3"/>
    <mergeCell ref="A4:N4"/>
    <mergeCell ref="A5:N5"/>
    <mergeCell ref="A6:N6"/>
    <mergeCell ref="A2:N2"/>
  </mergeCells>
  <pageMargins left="0.11811023622047245" right="0.11811023622047245" top="0.55118110236220474" bottom="0.59055118110236227" header="0.31496062992125984" footer="0.31496062992125984"/>
  <pageSetup paperSize="5" scale="6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'P2 Presupuesto Aprobado-Ejec '!Print_Titles</vt:lpstr>
      <vt:lpstr>'P3 Ejecucion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Graciela Reyes Sanchez</cp:lastModifiedBy>
  <cp:lastPrinted>2024-09-04T12:43:32Z</cp:lastPrinted>
  <dcterms:created xsi:type="dcterms:W3CDTF">2021-07-29T18:58:50Z</dcterms:created>
  <dcterms:modified xsi:type="dcterms:W3CDTF">2024-09-05T14:34:17Z</dcterms:modified>
</cp:coreProperties>
</file>