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C80C72C9-9055-4283-8E2B-D8C33BD4DF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3" l="1"/>
  <c r="G21" i="3"/>
  <c r="F17" i="3"/>
  <c r="G35" i="3"/>
  <c r="G27" i="3"/>
  <c r="G25" i="3"/>
  <c r="G24" i="3"/>
  <c r="G23" i="3"/>
  <c r="G52" i="3"/>
  <c r="I16" i="2"/>
  <c r="G26" i="3" l="1"/>
  <c r="G33" i="3"/>
  <c r="G17" i="3"/>
  <c r="G15" i="3"/>
  <c r="G11" i="3"/>
  <c r="F26" i="3"/>
  <c r="F52" i="3"/>
  <c r="F16" i="3"/>
  <c r="F83" i="3" s="1"/>
  <c r="H53" i="2"/>
  <c r="H52" i="2" s="1"/>
  <c r="H35" i="2"/>
  <c r="H27" i="2"/>
  <c r="H22" i="2"/>
  <c r="H17" i="2"/>
  <c r="H11" i="2"/>
  <c r="H15" i="2"/>
  <c r="P37" i="2"/>
  <c r="E16" i="3"/>
  <c r="E26" i="3"/>
  <c r="G35" i="2"/>
  <c r="G29" i="2"/>
  <c r="G19" i="2"/>
  <c r="G11" i="2"/>
  <c r="H16" i="2" l="1"/>
  <c r="G83" i="3"/>
  <c r="G25" i="2"/>
  <c r="G22" i="2"/>
  <c r="F21" i="2"/>
  <c r="F17" i="2"/>
  <c r="E23" i="2"/>
  <c r="G17" i="2" l="1"/>
  <c r="G16" i="2" s="1"/>
  <c r="G15" i="2"/>
  <c r="E18" i="1"/>
  <c r="F16" i="2"/>
  <c r="N37" i="3" l="1"/>
  <c r="D16" i="3"/>
  <c r="D27" i="3"/>
  <c r="D25" i="3"/>
  <c r="D24" i="3"/>
  <c r="D21" i="3"/>
  <c r="D17" i="3"/>
  <c r="D11" i="3"/>
  <c r="D15" i="3"/>
  <c r="C26" i="3"/>
  <c r="E35" i="2" l="1"/>
  <c r="E27" i="2"/>
  <c r="E25" i="2"/>
  <c r="E17" i="2" l="1"/>
  <c r="E16" i="2" s="1"/>
  <c r="E15" i="2"/>
  <c r="E11" i="2"/>
  <c r="B16" i="3"/>
  <c r="B11" i="2"/>
  <c r="B15" i="2"/>
  <c r="B12" i="2"/>
  <c r="C15" i="2"/>
  <c r="C12" i="2"/>
  <c r="C11" i="2"/>
  <c r="D16" i="2"/>
  <c r="C16" i="3"/>
  <c r="D28" i="1"/>
  <c r="D12" i="1"/>
  <c r="M16" i="3"/>
  <c r="M26" i="3"/>
  <c r="M52" i="3"/>
  <c r="O16" i="2"/>
  <c r="L16" i="3"/>
  <c r="E54" i="1"/>
  <c r="K26" i="3"/>
  <c r="P34" i="2"/>
  <c r="P57" i="2"/>
  <c r="P56" i="2"/>
  <c r="P55" i="2"/>
  <c r="B10" i="2" l="1"/>
  <c r="H16" i="3"/>
  <c r="H52" i="3"/>
  <c r="H26" i="3"/>
  <c r="J16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B16" i="2"/>
  <c r="D18" i="1" l="1"/>
  <c r="M10" i="3"/>
  <c r="C52" i="2"/>
  <c r="O52" i="2"/>
  <c r="C36" i="2"/>
  <c r="C16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N53" i="3"/>
  <c r="J26" i="3"/>
  <c r="D26" i="3"/>
  <c r="N25" i="3"/>
  <c r="K16" i="3"/>
  <c r="J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D83" i="3" s="1"/>
  <c r="C10" i="3"/>
  <c r="B10" i="3"/>
  <c r="N11" i="3"/>
  <c r="P54" i="2"/>
  <c r="P53" i="2"/>
  <c r="N52" i="2"/>
  <c r="M52" i="2"/>
  <c r="L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F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N16" i="2"/>
  <c r="M16" i="2"/>
  <c r="L16" i="2"/>
  <c r="O10" i="2"/>
  <c r="N10" i="2"/>
  <c r="M10" i="2"/>
  <c r="L10" i="2"/>
  <c r="K10" i="2"/>
  <c r="J10" i="2"/>
  <c r="I10" i="2"/>
  <c r="H10" i="2"/>
  <c r="G10" i="2"/>
  <c r="F10" i="2"/>
  <c r="E10" i="2"/>
  <c r="D10" i="2"/>
  <c r="B52" i="2"/>
  <c r="B36" i="2"/>
  <c r="C26" i="2"/>
  <c r="B26" i="2"/>
  <c r="C10" i="2"/>
  <c r="P10" i="2" l="1"/>
  <c r="E83" i="3"/>
  <c r="C83" i="3"/>
  <c r="B83" i="3"/>
  <c r="M83" i="3"/>
  <c r="J83" i="3"/>
  <c r="L83" i="3"/>
  <c r="B83" i="2"/>
  <c r="P52" i="2"/>
  <c r="C83" i="2"/>
  <c r="I83" i="3"/>
  <c r="N26" i="3"/>
  <c r="N10" i="3"/>
  <c r="N16" i="3"/>
  <c r="N52" i="3"/>
  <c r="P26" i="2"/>
  <c r="F83" i="2"/>
  <c r="G83" i="2"/>
  <c r="P16" i="2"/>
  <c r="O83" i="2"/>
  <c r="I83" i="2"/>
  <c r="M83" i="2"/>
  <c r="N83" i="2"/>
  <c r="H83" i="2"/>
  <c r="L83" i="2"/>
  <c r="K83" i="2"/>
  <c r="J83" i="2"/>
  <c r="E83" i="2"/>
  <c r="D83" i="2"/>
  <c r="D54" i="1"/>
  <c r="E38" i="1"/>
  <c r="D38" i="1"/>
  <c r="E28" i="1"/>
  <c r="E12" i="1"/>
  <c r="N83" i="3" l="1"/>
  <c r="E85" i="1"/>
  <c r="D85" i="1"/>
  <c r="P83" i="2"/>
</calcChain>
</file>

<file path=xl/sharedStrings.xml><?xml version="1.0" encoding="utf-8"?>
<sst xmlns="http://schemas.openxmlformats.org/spreadsheetml/2006/main" count="293" uniqueCount="117">
  <si>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</si>
  <si>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</si>
  <si>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</si>
  <si>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</si>
  <si>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</si>
  <si>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</si>
  <si>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</si>
  <si>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</si>
  <si>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</si>
  <si>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</si>
  <si>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</si>
  <si>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</si>
  <si>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</si>
  <si>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</si>
  <si>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</si>
  <si>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</si>
  <si>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</si>
  <si>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</si>
  <si>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</si>
  <si>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</si>
  <si>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</si>
  <si>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</si>
  <si>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</si>
  <si>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</si>
  <si>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</si>
  <si>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</si>
  <si>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</si>
  <si>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</si>
  <si>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</si>
  <si>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</si>
  <si>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</si>
  <si>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</si>
  <si>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</si>
  <si>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</si>
  <si>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</si>
  <si>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</si>
  <si>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</si>
  <si>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</si>
  <si>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</si>
  <si>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</si>
  <si>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</si>
  <si>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</si>
  <si>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</si>
  <si>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</si>
  <si>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</si>
  <si>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</si>
  <si>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</si>
  <si>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</si>
  <si>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</si>
  <si>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</si>
  <si>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</si>
  <si>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</si>
  <si>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</si>
  <si>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</si>
  <si>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</si>
  <si>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</si>
  <si>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</si>
  <si>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</si>
  <si>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</si>
  <si>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</si>
  <si>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</si>
  <si>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</si>
  <si>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</si>
  <si>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</si>
  <si>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</si>
  <si>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</si>
  <si>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</si>
  <si>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</si>
  <si>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</si>
  <si>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</si>
  <si>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</si>
  <si>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</si>
  <si>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</si>
  <si>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</si>
  <si>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</si>
  <si>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</si>
  <si>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</si>
  <si>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</si>
  <si>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</si>
  <si>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</si>
  <si>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</si>
  <si>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</si>
  <si>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</si>
  <si>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</si>
  <si>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</si>
  <si>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</si>
  <si>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</si>
  <si>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</si>
  <si>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</si>
  <si>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</si>
  <si>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</si>
  <si>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</si>
  <si>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</si>
  <si>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</si>
  <si>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</si>
  <si>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</si>
  <si>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</si>
  <si>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</si>
  <si>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</si>
  <si>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</si>
  <si>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</si>
  <si>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</si>
  <si>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</si>
  <si>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</si>
  <si>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</si>
  <si>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</si>
  <si>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</si>
  <si>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</si>
  <si>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</si>
  <si>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</si>
  <si>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</si>
  <si>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Nota: Reintegros por devolución de subsidio enfermedad común RD$102,784.27</t>
  </si>
  <si>
    <t>GOBIERNO DE LA REPUBLICA DOMINICANA</t>
  </si>
  <si>
    <t>Sept</t>
  </si>
  <si>
    <t>Nov</t>
  </si>
  <si>
    <t>Dic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</si>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</sst>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i/>
      <sz val="11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  <xf numFmtId="0" fontId="3" fillId="0" borderId="0" xfId="0" applyFont="1" applyAlignment="1">
      <alignment horizontal="left" wrapText="1" indent="2"/>
    </xf>
    <xf numFmtId="0" fontId="1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0</xdr:row>
      <xdr:rowOff>152399</xdr:rowOff>
    </xdr:from>
    <xdr:to>
      <xdr:col>15</xdr:col>
      <xdr:colOff>276225</xdr:colOff>
      <xdr:row>4</xdr:row>
      <xdr:rowOff>200024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2058650" y="152399"/>
          <a:ext cx="178117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12</xdr:col>
      <xdr:colOff>76201</xdr:colOff>
      <xdr:row>0</xdr:row>
      <xdr:rowOff>228600</xdr:rowOff>
    </xdr:from>
    <xdr:to>
      <xdr:col>15</xdr:col>
      <xdr:colOff>221137</xdr:colOff>
      <xdr:row>5</xdr:row>
      <xdr:rowOff>40275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2286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14</xdr:col>
      <xdr:colOff>630711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8" workbookViewId="0">
      <selection activeCell="G58" sqref="G58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8" t="s">
        <v>112</v>
      </c>
      <c r="D3" s="38"/>
      <c r="E3" s="3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98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4">
        <v>2024</v>
      </c>
      <c r="D5" s="45"/>
      <c r="E5" s="4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9" t="s">
        <v>76</v>
      </c>
      <c r="D6" s="40"/>
      <c r="E6" s="4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1" t="s">
        <v>66</v>
      </c>
      <c r="D9" s="42" t="s">
        <v>94</v>
      </c>
      <c r="E9" s="42" t="s">
        <v>93</v>
      </c>
      <c r="F9" s="8"/>
    </row>
    <row r="10" spans="2:16" ht="23.25" customHeight="1" x14ac:dyDescent="0.25">
      <c r="C10" s="41"/>
      <c r="D10" s="43"/>
      <c r="E10" s="43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206803213</v>
      </c>
      <c r="F12" s="8"/>
    </row>
    <row r="13" spans="2:16" x14ac:dyDescent="0.25">
      <c r="C13" s="5" t="s">
        <v>2</v>
      </c>
      <c r="D13" s="6">
        <v>169461162</v>
      </c>
      <c r="E13" s="6">
        <v>156051162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88500849</v>
      </c>
      <c r="F18" s="8"/>
    </row>
    <row r="19" spans="3:6" x14ac:dyDescent="0.25">
      <c r="C19" s="5" t="s">
        <v>8</v>
      </c>
      <c r="D19" s="6">
        <v>23080000</v>
      </c>
      <c r="E19" s="6">
        <v>23080000</v>
      </c>
      <c r="F19" s="8"/>
    </row>
    <row r="20" spans="3:6" x14ac:dyDescent="0.25">
      <c r="C20" s="5" t="s">
        <v>9</v>
      </c>
      <c r="D20" s="6">
        <v>515000</v>
      </c>
      <c r="E20" s="6">
        <v>465000</v>
      </c>
      <c r="F20" s="8"/>
    </row>
    <row r="21" spans="3:6" x14ac:dyDescent="0.25">
      <c r="C21" s="5" t="s">
        <v>10</v>
      </c>
      <c r="D21" s="6">
        <v>4200000</v>
      </c>
      <c r="E21" s="6">
        <v>17610000</v>
      </c>
      <c r="F21" s="8"/>
    </row>
    <row r="22" spans="3:6" x14ac:dyDescent="0.25">
      <c r="C22" s="5" t="s">
        <v>11</v>
      </c>
      <c r="D22" s="6">
        <v>2720000</v>
      </c>
      <c r="E22" s="6">
        <v>2770000</v>
      </c>
      <c r="F22" s="8"/>
    </row>
    <row r="23" spans="3:6" x14ac:dyDescent="0.25">
      <c r="C23" s="5" t="s">
        <v>12</v>
      </c>
      <c r="D23" s="6">
        <v>22629000</v>
      </c>
      <c r="E23" s="6">
        <v>22274000</v>
      </c>
    </row>
    <row r="24" spans="3:6" x14ac:dyDescent="0.25">
      <c r="C24" s="5" t="s">
        <v>13</v>
      </c>
      <c r="D24" s="6">
        <v>13300000</v>
      </c>
      <c r="E24" s="6">
        <v>13300000</v>
      </c>
    </row>
    <row r="25" spans="3:6" x14ac:dyDescent="0.25">
      <c r="C25" s="5" t="s">
        <v>14</v>
      </c>
      <c r="D25" s="6">
        <v>4900000</v>
      </c>
      <c r="E25" s="6">
        <v>3468500</v>
      </c>
    </row>
    <row r="26" spans="3:6" x14ac:dyDescent="0.25">
      <c r="C26" s="5" t="s">
        <v>15</v>
      </c>
      <c r="D26" s="6">
        <v>3896849</v>
      </c>
      <c r="E26" s="6">
        <v>2783349</v>
      </c>
    </row>
    <row r="27" spans="3:6" x14ac:dyDescent="0.25">
      <c r="C27" s="5" t="s">
        <v>16</v>
      </c>
      <c r="D27" s="6">
        <v>2900000</v>
      </c>
      <c r="E27" s="6">
        <v>2750000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15717678</v>
      </c>
    </row>
    <row r="29" spans="3:6" x14ac:dyDescent="0.25">
      <c r="C29" s="5" t="s">
        <v>18</v>
      </c>
      <c r="D29" s="6">
        <v>665000</v>
      </c>
      <c r="E29" s="6">
        <v>820000</v>
      </c>
    </row>
    <row r="30" spans="3:6" x14ac:dyDescent="0.25">
      <c r="C30" s="5" t="s">
        <v>19</v>
      </c>
      <c r="D30" s="6">
        <v>448000</v>
      </c>
      <c r="E30" s="6">
        <v>465600</v>
      </c>
    </row>
    <row r="31" spans="3:6" x14ac:dyDescent="0.25">
      <c r="C31" s="5" t="s">
        <v>20</v>
      </c>
      <c r="D31" s="6">
        <v>675000</v>
      </c>
      <c r="E31" s="6">
        <v>435000</v>
      </c>
    </row>
    <row r="32" spans="3:6" x14ac:dyDescent="0.25">
      <c r="C32" s="5" t="s">
        <v>21</v>
      </c>
      <c r="D32" s="6">
        <v>10000</v>
      </c>
      <c r="E32" s="6">
        <v>10000</v>
      </c>
    </row>
    <row r="33" spans="3:5" x14ac:dyDescent="0.25">
      <c r="C33" s="5" t="s">
        <v>22</v>
      </c>
      <c r="D33" s="6">
        <v>700000</v>
      </c>
      <c r="E33" s="6">
        <v>437400</v>
      </c>
    </row>
    <row r="34" spans="3:5" x14ac:dyDescent="0.25">
      <c r="C34" s="5" t="s">
        <v>23</v>
      </c>
      <c r="D34" s="6">
        <v>119678</v>
      </c>
      <c r="E34" s="6">
        <v>259678</v>
      </c>
    </row>
    <row r="35" spans="3:5" x14ac:dyDescent="0.25">
      <c r="C35" s="5" t="s">
        <v>24</v>
      </c>
      <c r="D35" s="6">
        <v>11100000</v>
      </c>
      <c r="E35" s="6">
        <v>11385000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1905000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</f>
        <v>1900000</v>
      </c>
    </row>
    <row r="55" spans="3:5" x14ac:dyDescent="0.25">
      <c r="C55" s="5" t="s">
        <v>44</v>
      </c>
      <c r="D55" s="6">
        <v>1900000</v>
      </c>
      <c r="E55" s="6">
        <v>1168000</v>
      </c>
    </row>
    <row r="56" spans="3:5" x14ac:dyDescent="0.25">
      <c r="C56" s="5" t="s">
        <v>45</v>
      </c>
      <c r="D56" s="6"/>
      <c r="E56" s="6">
        <v>25000</v>
      </c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>
        <v>27000</v>
      </c>
    </row>
    <row r="59" spans="3:5" x14ac:dyDescent="0.25">
      <c r="C59" s="5" t="s">
        <v>48</v>
      </c>
      <c r="D59" s="6">
        <v>1100000</v>
      </c>
      <c r="E59" s="6">
        <v>680000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312971740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1"/>
  <sheetViews>
    <sheetView showGridLines="0" tabSelected="1" workbookViewId="0">
      <selection activeCell="B22" sqref="B22"/>
    </sheetView>
  </sheetViews>
  <sheetFormatPr defaultColWidth="11.42578125" defaultRowHeight="15" x14ac:dyDescent="0.25"/>
  <cols>
    <col min="1" max="1" width="43.5703125" customWidth="1"/>
    <col min="2" max="2" width="14.85546875" customWidth="1"/>
    <col min="3" max="3" width="16.710937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13" customWidth="1"/>
    <col min="10" max="10" width="7.85546875" customWidth="1"/>
    <col min="11" max="11" width="7.42578125" customWidth="1"/>
    <col min="12" max="12" width="9.5703125" customWidth="1"/>
    <col min="13" max="13" width="7.7109375" customWidth="1"/>
    <col min="14" max="14" width="6.7109375" customWidth="1"/>
    <col min="15" max="15" width="7.42578125" customWidth="1"/>
    <col min="16" max="16" width="15" customWidth="1"/>
  </cols>
  <sheetData>
    <row r="1" spans="1:17" ht="28.5" customHeight="1" x14ac:dyDescent="0.25">
      <c r="A1" s="50" t="s">
        <v>112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7" ht="21" customHeight="1" x14ac:dyDescent="0.25">
      <c r="A2" s="52" t="s">
        <v>99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7" ht="15.75" x14ac:dyDescent="0.25">
      <c r="A3" s="44">
        <v>2024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15.75" customHeight="1" x14ac:dyDescent="0.25">
      <c r="A4" s="39" t="s">
        <v>92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ht="15.75" customHeight="1" x14ac:dyDescent="0.25">
      <c r="A5" s="40" t="s">
        <v>77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7" spans="1:17" ht="25.5" customHeight="1" x14ac:dyDescent="0.25">
      <c r="A7" s="41" t="s">
        <v>66</v>
      </c>
      <c r="B7" s="42" t="s">
        <v>94</v>
      </c>
      <c r="C7" s="42" t="s">
        <v>93</v>
      </c>
      <c r="D7" s="47" t="s">
        <v>91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spans="1:17" x14ac:dyDescent="0.25">
      <c r="A8" s="41"/>
      <c r="B8" s="43"/>
      <c r="C8" s="43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113</v>
      </c>
      <c r="M8" s="15" t="s">
        <v>116</v>
      </c>
      <c r="N8" s="15" t="s">
        <v>114</v>
      </c>
      <c r="O8" s="16" t="s">
        <v>115</v>
      </c>
      <c r="P8" s="15" t="s">
        <v>78</v>
      </c>
    </row>
    <row r="9" spans="1:17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x14ac:dyDescent="0.25">
      <c r="A10" s="3" t="s">
        <v>1</v>
      </c>
      <c r="B10" s="25">
        <f>B11+B12+B15</f>
        <v>220213213</v>
      </c>
      <c r="C10" s="25">
        <f>C11+C12+C15</f>
        <v>206803213</v>
      </c>
      <c r="D10" s="25">
        <f t="shared" ref="D10:O10" si="0">D11+D12+D15</f>
        <v>14296930.99</v>
      </c>
      <c r="E10" s="25">
        <f t="shared" si="0"/>
        <v>14372212.880000001</v>
      </c>
      <c r="F10" s="25">
        <f t="shared" si="0"/>
        <v>15495728.01</v>
      </c>
      <c r="G10" s="25">
        <f t="shared" si="0"/>
        <v>14490865.289999999</v>
      </c>
      <c r="H10" s="25">
        <f t="shared" si="0"/>
        <v>26405869.960000001</v>
      </c>
      <c r="I10" s="25">
        <f t="shared" si="0"/>
        <v>14862186.59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>SUM(D10:O10)</f>
        <v>99923793.719999999</v>
      </c>
    </row>
    <row r="11" spans="1:17" x14ac:dyDescent="0.25">
      <c r="A11" s="5" t="s">
        <v>2</v>
      </c>
      <c r="B11" s="24">
        <f>145407162+6404000+12450000+3700000+1500000</f>
        <v>169461162</v>
      </c>
      <c r="C11" s="24">
        <f>131997162+6404000+12450000+3700000+1500000</f>
        <v>156051162</v>
      </c>
      <c r="D11" s="24">
        <v>12143507.34</v>
      </c>
      <c r="E11" s="24">
        <f>11376807.09+827000</f>
        <v>12203807.09</v>
      </c>
      <c r="F11" s="24">
        <v>13399653.869999999</v>
      </c>
      <c r="G11" s="24">
        <f>11494685.07+563000+286558.37</f>
        <v>12344243.439999999</v>
      </c>
      <c r="H11" s="24">
        <f>11461835.99+400000+690642+297258+11464509.6</f>
        <v>24314245.59</v>
      </c>
      <c r="I11" s="24">
        <v>12681623.6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f>SUM(D11:O11)</f>
        <v>87087080.929999992</v>
      </c>
    </row>
    <row r="12" spans="1:17" x14ac:dyDescent="0.25">
      <c r="A12" s="5" t="s">
        <v>3</v>
      </c>
      <c r="B12" s="24">
        <f>4002000+12000000+12000000</f>
        <v>28002000</v>
      </c>
      <c r="C12" s="24">
        <f>4002000+12000000+12000000</f>
        <v>28002000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308500</v>
      </c>
      <c r="I12" s="24">
        <v>308500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1951000</v>
      </c>
    </row>
    <row r="13" spans="1:17" x14ac:dyDescent="0.25">
      <c r="A13" s="5" t="s">
        <v>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7"/>
    </row>
    <row r="14" spans="1:17" x14ac:dyDescent="0.25">
      <c r="A14" s="5" t="s">
        <v>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7" x14ac:dyDescent="0.25">
      <c r="A15" s="5" t="s">
        <v>6</v>
      </c>
      <c r="B15" s="24">
        <f>10570151+10854000+1325900</f>
        <v>22750051</v>
      </c>
      <c r="C15" s="24">
        <f>10570151+10854000+1325900</f>
        <v>22750051</v>
      </c>
      <c r="D15" s="24">
        <v>1819923.65</v>
      </c>
      <c r="E15" s="24">
        <f>859409.67+866470.3+109025.82</f>
        <v>1834905.7900000003</v>
      </c>
      <c r="F15" s="24">
        <v>1762574.14</v>
      </c>
      <c r="G15" s="24">
        <f>849049.59+856095.62+107976.64</f>
        <v>1813121.8499999999</v>
      </c>
      <c r="H15" s="24">
        <f>835163.87+842190.36+105770.14</f>
        <v>1783124.3699999999</v>
      </c>
      <c r="I15" s="24">
        <v>1872062.99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f t="shared" ref="P15:P25" si="1">SUM(D15:O15)</f>
        <v>10885712.789999999</v>
      </c>
    </row>
    <row r="16" spans="1:17" x14ac:dyDescent="0.25">
      <c r="A16" s="3" t="s">
        <v>7</v>
      </c>
      <c r="B16" s="25">
        <f t="shared" ref="B16:G16" si="2">B17+B18+B19+B20+B21+B22+B23+B24+B25</f>
        <v>78140849</v>
      </c>
      <c r="C16" s="25">
        <f t="shared" si="2"/>
        <v>88500849</v>
      </c>
      <c r="D16" s="25">
        <f t="shared" si="2"/>
        <v>6620670.3200000003</v>
      </c>
      <c r="E16" s="25">
        <f t="shared" si="2"/>
        <v>4391463.0600000005</v>
      </c>
      <c r="F16" s="25">
        <f t="shared" si="2"/>
        <v>8824323.0700000003</v>
      </c>
      <c r="G16" s="25">
        <f t="shared" si="2"/>
        <v>7688170.1600000001</v>
      </c>
      <c r="H16" s="25">
        <f>H17+H18+H19+H20+H21+H22+H23+H24+H25</f>
        <v>5126390.13</v>
      </c>
      <c r="I16" s="25">
        <f>I17+I18+I19+I20+I21+I22+I23+I24+I25</f>
        <v>8206220.6699999999</v>
      </c>
      <c r="J16" s="25">
        <f>J17+J18+J19+J20+J21+J22+J23+J24+J25</f>
        <v>0</v>
      </c>
      <c r="K16" s="25">
        <f>K17+K18+K19+K20+K21+K22+K23+K24+K25</f>
        <v>0</v>
      </c>
      <c r="L16" s="25">
        <f t="shared" ref="L16:N16" si="3">L17+L18+L19+L20+L21+L22+L23+L24</f>
        <v>0</v>
      </c>
      <c r="M16" s="25">
        <f t="shared" si="3"/>
        <v>0</v>
      </c>
      <c r="N16" s="25">
        <f t="shared" si="3"/>
        <v>0</v>
      </c>
      <c r="O16" s="25">
        <f>O17+O18+O19+O20+O21+O22+O23+O24+O25</f>
        <v>0</v>
      </c>
      <c r="P16" s="25">
        <f t="shared" si="1"/>
        <v>40857237.410000004</v>
      </c>
    </row>
    <row r="17" spans="1:16" x14ac:dyDescent="0.25">
      <c r="A17" s="5" t="s">
        <v>8</v>
      </c>
      <c r="B17" s="24">
        <v>23080000</v>
      </c>
      <c r="C17" s="24">
        <v>23080000</v>
      </c>
      <c r="D17" s="24">
        <v>2305139.54</v>
      </c>
      <c r="E17" s="24">
        <f>435773.34+200867.09+986583.16+572753.39</f>
        <v>2195976.98</v>
      </c>
      <c r="F17" s="24">
        <f>531894.62+219894.11+999645.05+574030.01</f>
        <v>2325463.79</v>
      </c>
      <c r="G17" s="24">
        <f>484997.82+212250.14+991064.55+603000.69</f>
        <v>2291313.2000000002</v>
      </c>
      <c r="H17" s="24">
        <f>474796.68+207121.11+993058.71+598636.33</f>
        <v>2273612.83</v>
      </c>
      <c r="I17" s="24">
        <v>2295791.36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f t="shared" si="1"/>
        <v>13687297.699999999</v>
      </c>
    </row>
    <row r="18" spans="1:16" x14ac:dyDescent="0.25">
      <c r="A18" s="5" t="s">
        <v>9</v>
      </c>
      <c r="B18" s="24">
        <v>515000</v>
      </c>
      <c r="C18" s="24">
        <v>465000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1"/>
        <v>0</v>
      </c>
    </row>
    <row r="19" spans="1:16" x14ac:dyDescent="0.25">
      <c r="A19" s="5" t="s">
        <v>10</v>
      </c>
      <c r="B19" s="24">
        <v>4200000</v>
      </c>
      <c r="C19" s="24">
        <v>17610000</v>
      </c>
      <c r="D19" s="24">
        <v>2686800</v>
      </c>
      <c r="E19" s="24">
        <v>1180200</v>
      </c>
      <c r="F19" s="24">
        <v>2909800</v>
      </c>
      <c r="G19" s="24">
        <f>879200+198000</f>
        <v>1077200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7854000</v>
      </c>
    </row>
    <row r="20" spans="1:16" x14ac:dyDescent="0.25">
      <c r="A20" s="5" t="s">
        <v>11</v>
      </c>
      <c r="B20" s="24">
        <v>2720000</v>
      </c>
      <c r="C20" s="24">
        <v>2770000</v>
      </c>
      <c r="D20" s="24">
        <v>0</v>
      </c>
      <c r="E20" s="24">
        <v>0</v>
      </c>
      <c r="F20" s="24">
        <v>0</v>
      </c>
      <c r="G20" s="24">
        <v>13000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13000</v>
      </c>
    </row>
    <row r="21" spans="1:16" x14ac:dyDescent="0.25">
      <c r="A21" s="5" t="s">
        <v>12</v>
      </c>
      <c r="B21" s="24">
        <v>22629000</v>
      </c>
      <c r="C21" s="24">
        <v>22274000</v>
      </c>
      <c r="D21" s="24">
        <v>1346926.08</v>
      </c>
      <c r="E21" s="24">
        <v>217739.5</v>
      </c>
      <c r="F21" s="24">
        <f>2205964.26+76517.1</f>
        <v>2282481.36</v>
      </c>
      <c r="G21" s="24">
        <v>1670527.88</v>
      </c>
      <c r="H21" s="24">
        <v>1320277.21</v>
      </c>
      <c r="I21" s="24">
        <v>3308394.1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10146346.130000001</v>
      </c>
    </row>
    <row r="22" spans="1:16" x14ac:dyDescent="0.25">
      <c r="A22" s="5" t="s">
        <v>13</v>
      </c>
      <c r="B22" s="24">
        <v>13300000</v>
      </c>
      <c r="C22" s="24">
        <v>13300000</v>
      </c>
      <c r="D22" s="24">
        <v>0</v>
      </c>
      <c r="E22" s="24">
        <v>588468.36</v>
      </c>
      <c r="F22" s="24">
        <v>978800.4</v>
      </c>
      <c r="G22" s="24">
        <f>347489.18+1056336.4</f>
        <v>1403825.5799999998</v>
      </c>
      <c r="H22" s="24">
        <f>1047626.59+289347.5</f>
        <v>1336974.0899999999</v>
      </c>
      <c r="I22" s="24">
        <v>1105871.75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5413940.1799999997</v>
      </c>
    </row>
    <row r="23" spans="1:16" ht="30" x14ac:dyDescent="0.25">
      <c r="A23" s="29" t="s">
        <v>14</v>
      </c>
      <c r="B23" s="24">
        <v>4900000</v>
      </c>
      <c r="C23" s="24">
        <v>3468500</v>
      </c>
      <c r="D23" s="24">
        <v>0</v>
      </c>
      <c r="E23" s="24">
        <f>49135.2+54566.66</f>
        <v>103701.86</v>
      </c>
      <c r="F23" s="24">
        <v>0</v>
      </c>
      <c r="G23" s="24">
        <v>308853.2</v>
      </c>
      <c r="H23" s="24">
        <v>10384</v>
      </c>
      <c r="I23" s="24">
        <v>818779.89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1241718.95</v>
      </c>
    </row>
    <row r="24" spans="1:16" ht="30" x14ac:dyDescent="0.25">
      <c r="A24" s="29" t="s">
        <v>15</v>
      </c>
      <c r="B24" s="24">
        <v>3896849</v>
      </c>
      <c r="C24" s="24">
        <v>2783349</v>
      </c>
      <c r="D24" s="24">
        <v>0</v>
      </c>
      <c r="E24" s="24">
        <v>26786</v>
      </c>
      <c r="F24" s="24">
        <v>66000</v>
      </c>
      <c r="G24" s="24">
        <v>708000</v>
      </c>
      <c r="H24" s="24">
        <v>4602</v>
      </c>
      <c r="I24" s="24">
        <v>321508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1126896</v>
      </c>
    </row>
    <row r="25" spans="1:16" x14ac:dyDescent="0.25">
      <c r="A25" s="29" t="s">
        <v>16</v>
      </c>
      <c r="B25" s="24">
        <v>2900000</v>
      </c>
      <c r="C25" s="24">
        <v>2750000</v>
      </c>
      <c r="D25" s="24">
        <v>281804.7</v>
      </c>
      <c r="E25" s="24">
        <f>68819.96+9770.4</f>
        <v>78590.36</v>
      </c>
      <c r="F25" s="24">
        <v>261777.52</v>
      </c>
      <c r="G25" s="24">
        <f>157258.6+58191.7</f>
        <v>215450.3</v>
      </c>
      <c r="H25" s="24">
        <v>180540</v>
      </c>
      <c r="I25" s="24">
        <v>355875.57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1374038.45</v>
      </c>
    </row>
    <row r="26" spans="1:16" x14ac:dyDescent="0.25">
      <c r="A26" s="3" t="s">
        <v>17</v>
      </c>
      <c r="B26" s="25">
        <f>B27+B28+B29+B30+B31+B32+B33+B35</f>
        <v>15617678</v>
      </c>
      <c r="C26" s="25">
        <f>C27+C28+C29+C30+C31+C32+C33+C35</f>
        <v>15717678</v>
      </c>
      <c r="D26" s="25">
        <f t="shared" ref="D26:P26" si="4">D27+D28+D29+D30+D31+D32+D33+D35</f>
        <v>715604</v>
      </c>
      <c r="E26" s="25">
        <f t="shared" si="4"/>
        <v>2060669.4</v>
      </c>
      <c r="F26" s="25">
        <f t="shared" si="4"/>
        <v>195375.4</v>
      </c>
      <c r="G26" s="25">
        <f t="shared" si="4"/>
        <v>1282432.8799999999</v>
      </c>
      <c r="H26" s="25">
        <f t="shared" si="4"/>
        <v>1063414.23</v>
      </c>
      <c r="I26" s="25">
        <f t="shared" si="4"/>
        <v>2451261.69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0</v>
      </c>
      <c r="O26" s="25">
        <f t="shared" si="4"/>
        <v>0</v>
      </c>
      <c r="P26" s="25">
        <f t="shared" si="4"/>
        <v>7768757.6000000006</v>
      </c>
    </row>
    <row r="27" spans="1:16" ht="30" x14ac:dyDescent="0.25">
      <c r="A27" s="29" t="s">
        <v>18</v>
      </c>
      <c r="B27" s="24">
        <v>665000</v>
      </c>
      <c r="C27" s="24">
        <v>720000</v>
      </c>
      <c r="D27" s="24">
        <v>0</v>
      </c>
      <c r="E27" s="24">
        <f>10570+25623.2</f>
        <v>36193.199999999997</v>
      </c>
      <c r="F27" s="24">
        <v>11260</v>
      </c>
      <c r="G27" s="24">
        <v>97335.29</v>
      </c>
      <c r="H27" s="24">
        <f>8260+99125.66</f>
        <v>107385.66</v>
      </c>
      <c r="I27" s="24">
        <v>24523.599999999999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f t="shared" ref="P27:P34" si="5">SUM(D27:O27)</f>
        <v>276697.75</v>
      </c>
    </row>
    <row r="28" spans="1:16" x14ac:dyDescent="0.25">
      <c r="A28" s="29" t="s">
        <v>19</v>
      </c>
      <c r="B28" s="24">
        <v>448000</v>
      </c>
      <c r="C28" s="24">
        <v>435600</v>
      </c>
      <c r="D28" s="24">
        <v>0</v>
      </c>
      <c r="E28" s="24">
        <v>0</v>
      </c>
      <c r="F28" s="24">
        <v>184115.4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si="5"/>
        <v>184115.4</v>
      </c>
    </row>
    <row r="29" spans="1:16" ht="30" x14ac:dyDescent="0.25">
      <c r="A29" s="29" t="s">
        <v>20</v>
      </c>
      <c r="B29" s="24">
        <v>675000</v>
      </c>
      <c r="C29" s="24">
        <v>360000</v>
      </c>
      <c r="D29" s="24">
        <v>0</v>
      </c>
      <c r="E29" s="24">
        <v>0</v>
      </c>
      <c r="F29" s="24">
        <v>0</v>
      </c>
      <c r="G29" s="24">
        <f>58882+159770.21</f>
        <v>218652.21</v>
      </c>
      <c r="H29" s="24">
        <v>0</v>
      </c>
      <c r="I29" s="24">
        <v>3450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5"/>
        <v>222102.21</v>
      </c>
    </row>
    <row r="30" spans="1:16" x14ac:dyDescent="0.25">
      <c r="A30" s="29" t="s">
        <v>21</v>
      </c>
      <c r="B30" s="24">
        <v>10000</v>
      </c>
      <c r="C30" s="24">
        <v>10000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5"/>
        <v>0</v>
      </c>
    </row>
    <row r="31" spans="1:16" ht="30" x14ac:dyDescent="0.25">
      <c r="A31" s="29" t="s">
        <v>22</v>
      </c>
      <c r="B31" s="24">
        <v>700000</v>
      </c>
      <c r="C31" s="24">
        <v>412400</v>
      </c>
      <c r="D31" s="24">
        <v>0</v>
      </c>
      <c r="E31" s="24">
        <v>0</v>
      </c>
      <c r="F31" s="24">
        <v>0</v>
      </c>
      <c r="G31" s="24">
        <v>198633.65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5"/>
        <v>198633.65</v>
      </c>
    </row>
    <row r="32" spans="1:16" ht="30" x14ac:dyDescent="0.25">
      <c r="A32" s="29" t="s">
        <v>23</v>
      </c>
      <c r="B32" s="24">
        <v>119678</v>
      </c>
      <c r="C32" s="24">
        <v>489678</v>
      </c>
      <c r="D32" s="24">
        <v>0</v>
      </c>
      <c r="E32" s="24">
        <v>0</v>
      </c>
      <c r="F32" s="24">
        <v>0</v>
      </c>
      <c r="G32" s="24">
        <v>0</v>
      </c>
      <c r="H32" s="24">
        <v>3457.86</v>
      </c>
      <c r="I32" s="24">
        <v>908.6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4366.46</v>
      </c>
    </row>
    <row r="33" spans="1:16" ht="30" x14ac:dyDescent="0.25">
      <c r="A33" s="29" t="s">
        <v>24</v>
      </c>
      <c r="B33" s="24">
        <v>11100000</v>
      </c>
      <c r="C33" s="24">
        <v>11385000</v>
      </c>
      <c r="D33" s="24">
        <v>715604</v>
      </c>
      <c r="E33" s="24">
        <v>1907604</v>
      </c>
      <c r="F33" s="24">
        <v>0</v>
      </c>
      <c r="G33" s="24">
        <v>686600</v>
      </c>
      <c r="H33" s="24">
        <v>698600</v>
      </c>
      <c r="I33" s="24">
        <v>2011533.98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5"/>
        <v>6019941.9800000004</v>
      </c>
    </row>
    <row r="34" spans="1:16" ht="30" x14ac:dyDescent="0.25">
      <c r="A34" s="29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5"/>
        <v>0</v>
      </c>
    </row>
    <row r="35" spans="1:16" x14ac:dyDescent="0.25">
      <c r="A35" s="5" t="s">
        <v>26</v>
      </c>
      <c r="B35" s="24">
        <v>1900000</v>
      </c>
      <c r="C35" s="24">
        <v>1905000</v>
      </c>
      <c r="D35" s="24">
        <v>0</v>
      </c>
      <c r="E35" s="24">
        <f>23610.9+93261.3</f>
        <v>116872.20000000001</v>
      </c>
      <c r="F35" s="24">
        <v>0</v>
      </c>
      <c r="G35" s="24">
        <f>61505.73+19706</f>
        <v>81211.73000000001</v>
      </c>
      <c r="H35" s="24">
        <f>65466.4+11151+13715.99+163637.32</f>
        <v>253970.71000000002</v>
      </c>
      <c r="I35" s="24">
        <v>410845.51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>SUM(D35:O35)</f>
        <v>862900.15</v>
      </c>
    </row>
    <row r="36" spans="1:16" x14ac:dyDescent="0.25">
      <c r="A36" s="3" t="s">
        <v>27</v>
      </c>
      <c r="B36" s="25">
        <f>B37</f>
        <v>50000</v>
      </c>
      <c r="C36" s="25">
        <f>C37</f>
        <v>50000</v>
      </c>
      <c r="D36" s="25">
        <f t="shared" ref="D36:P36" si="6">D37</f>
        <v>0</v>
      </c>
      <c r="E36" s="25">
        <f t="shared" si="6"/>
        <v>0</v>
      </c>
      <c r="F36" s="25">
        <f t="shared" si="6"/>
        <v>24000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0</v>
      </c>
      <c r="O36" s="25">
        <f t="shared" si="6"/>
        <v>0</v>
      </c>
      <c r="P36" s="25">
        <f t="shared" si="6"/>
        <v>24000</v>
      </c>
    </row>
    <row r="37" spans="1:16" ht="30" x14ac:dyDescent="0.25">
      <c r="A37" s="29" t="s">
        <v>28</v>
      </c>
      <c r="B37" s="24">
        <v>50000</v>
      </c>
      <c r="C37" s="24">
        <v>50000</v>
      </c>
      <c r="D37" s="24">
        <v>0</v>
      </c>
      <c r="E37" s="24">
        <v>0</v>
      </c>
      <c r="F37" s="24">
        <v>24000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f>SUM(D37:O37)</f>
        <v>24000</v>
      </c>
    </row>
    <row r="38" spans="1:16" ht="30" x14ac:dyDescent="0.25">
      <c r="A38" s="29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ht="30" x14ac:dyDescent="0.25">
      <c r="A39" s="29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ht="30" x14ac:dyDescent="0.25">
      <c r="A43" s="29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ht="30" x14ac:dyDescent="0.25">
      <c r="A44" s="29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3" t="s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ht="30" x14ac:dyDescent="0.25">
      <c r="A46" s="29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ht="30" x14ac:dyDescent="0.25">
      <c r="A47" s="29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30" x14ac:dyDescent="0.25">
      <c r="A48" s="29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ht="30" x14ac:dyDescent="0.25">
      <c r="A51" s="29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3" t="s">
        <v>43</v>
      </c>
      <c r="B52" s="25">
        <f>B53+B56+B57</f>
        <v>3000000</v>
      </c>
      <c r="C52" s="25">
        <f>C53+C56+C57+C54</f>
        <v>1900000</v>
      </c>
      <c r="D52" s="25">
        <f>D53+D56+D57</f>
        <v>0</v>
      </c>
      <c r="E52" s="25">
        <f>E53+E56+E57</f>
        <v>0</v>
      </c>
      <c r="F52" s="25">
        <f>F53+F56+F57</f>
        <v>0</v>
      </c>
      <c r="G52" s="25">
        <f>G53+G56+G57</f>
        <v>0</v>
      </c>
      <c r="H52" s="25">
        <f>H54+H53</f>
        <v>94532.61</v>
      </c>
      <c r="I52" s="25">
        <f t="shared" ref="I52:N52" si="7">I53+I56+I57</f>
        <v>40374.540000000008</v>
      </c>
      <c r="J52" s="25">
        <f t="shared" si="7"/>
        <v>0</v>
      </c>
      <c r="K52" s="25">
        <f t="shared" si="7"/>
        <v>0</v>
      </c>
      <c r="L52" s="25">
        <f t="shared" si="7"/>
        <v>0</v>
      </c>
      <c r="M52" s="25">
        <f t="shared" si="7"/>
        <v>0</v>
      </c>
      <c r="N52" s="25">
        <f t="shared" si="7"/>
        <v>0</v>
      </c>
      <c r="O52" s="25">
        <f>O53+O56+O57+O54</f>
        <v>0</v>
      </c>
      <c r="P52" s="25">
        <f>SUM(D52:O52)</f>
        <v>134907.15000000002</v>
      </c>
    </row>
    <row r="53" spans="1:16" x14ac:dyDescent="0.25">
      <c r="A53" s="5" t="s">
        <v>44</v>
      </c>
      <c r="B53" s="24">
        <v>1900000</v>
      </c>
      <c r="C53" s="24">
        <v>1168000</v>
      </c>
      <c r="D53" s="24">
        <v>0</v>
      </c>
      <c r="E53" s="24">
        <v>0</v>
      </c>
      <c r="F53" s="24">
        <v>0</v>
      </c>
      <c r="G53" s="24">
        <v>0</v>
      </c>
      <c r="H53" s="24">
        <f>52906+32726.61</f>
        <v>85632.61</v>
      </c>
      <c r="I53" s="24">
        <v>8685</v>
      </c>
      <c r="J53" s="24">
        <v>0</v>
      </c>
      <c r="K53" s="24">
        <v>0</v>
      </c>
      <c r="L53" s="24"/>
      <c r="M53" s="24"/>
      <c r="N53" s="24"/>
      <c r="O53" s="24"/>
      <c r="P53" s="24">
        <f>SUM(D53:O53)</f>
        <v>94317.61</v>
      </c>
    </row>
    <row r="54" spans="1:16" ht="30" x14ac:dyDescent="0.25">
      <c r="A54" s="29" t="s">
        <v>45</v>
      </c>
      <c r="B54" s="24">
        <v>0</v>
      </c>
      <c r="C54" s="24">
        <v>25000</v>
      </c>
      <c r="D54" s="24">
        <v>0</v>
      </c>
      <c r="E54" s="24">
        <v>0</v>
      </c>
      <c r="F54" s="24">
        <v>0</v>
      </c>
      <c r="G54" s="24">
        <v>0</v>
      </c>
      <c r="H54" s="24">
        <v>8900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>SUM(D54:O54)</f>
        <v>8900</v>
      </c>
    </row>
    <row r="55" spans="1:16" ht="30" x14ac:dyDescent="0.25">
      <c r="A55" s="29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 t="shared" ref="P55:P57" si="8">SUM(D55:O55)</f>
        <v>0</v>
      </c>
    </row>
    <row r="56" spans="1:16" ht="30" x14ac:dyDescent="0.25">
      <c r="A56" s="29" t="s">
        <v>47</v>
      </c>
      <c r="B56" s="24">
        <v>0</v>
      </c>
      <c r="C56" s="24">
        <v>27000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26397.24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si="8"/>
        <v>26397.24</v>
      </c>
    </row>
    <row r="57" spans="1:16" ht="30" x14ac:dyDescent="0.25">
      <c r="A57" s="29" t="s">
        <v>48</v>
      </c>
      <c r="B57" s="24">
        <v>1100000</v>
      </c>
      <c r="C57" s="24">
        <v>680000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5292.3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/>
      <c r="P57" s="24">
        <f t="shared" si="8"/>
        <v>5292.3</v>
      </c>
    </row>
    <row r="58" spans="1:16" x14ac:dyDescent="0.25">
      <c r="A58" s="29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1:16" x14ac:dyDescent="0.25">
      <c r="A59" s="29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3" t="s">
        <v>53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ht="30" x14ac:dyDescent="0.25">
      <c r="A65" s="29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ht="45" x14ac:dyDescent="0.25">
      <c r="A66" s="29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ht="30" x14ac:dyDescent="0.25">
      <c r="A67" s="55" t="s">
        <v>58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ht="30" x14ac:dyDescent="0.25">
      <c r="A69" s="29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3" t="s">
        <v>61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ht="30" x14ac:dyDescent="0.25">
      <c r="A71" s="29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ht="30" x14ac:dyDescent="0.25">
      <c r="A72" s="29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ht="30" x14ac:dyDescent="0.25">
      <c r="A73" s="29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1" t="s">
        <v>67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25">
      <c r="A75" s="3" t="s">
        <v>68</v>
      </c>
      <c r="B75" s="25"/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ht="30" x14ac:dyDescent="0.25">
      <c r="A76" s="29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1:16" ht="30" x14ac:dyDescent="0.25">
      <c r="A77" s="29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29" t="s">
        <v>71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x14ac:dyDescent="0.25">
      <c r="A79" s="29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ht="30" x14ac:dyDescent="0.25">
      <c r="A80" s="29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29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</row>
    <row r="82" spans="1:16" ht="30" x14ac:dyDescent="0.25">
      <c r="A82" s="29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ht="21.75" customHeight="1" x14ac:dyDescent="0.25">
      <c r="A83" s="9" t="s">
        <v>65</v>
      </c>
      <c r="B83" s="28">
        <f>B52+B36+B26+B16+B10</f>
        <v>317021740</v>
      </c>
      <c r="C83" s="28">
        <f>C52+C36+C26+C16+C10</f>
        <v>312971740</v>
      </c>
      <c r="D83" s="28">
        <f t="shared" ref="D83:P83" si="9">D52+D36+D26+D16+D10</f>
        <v>21633205.310000002</v>
      </c>
      <c r="E83" s="28">
        <f t="shared" si="9"/>
        <v>20824345.340000004</v>
      </c>
      <c r="F83" s="28">
        <f t="shared" si="9"/>
        <v>24539426.48</v>
      </c>
      <c r="G83" s="28">
        <f t="shared" si="9"/>
        <v>23461468.329999998</v>
      </c>
      <c r="H83" s="28">
        <f t="shared" si="9"/>
        <v>32690206.93</v>
      </c>
      <c r="I83" s="28">
        <f t="shared" si="9"/>
        <v>25560043.490000002</v>
      </c>
      <c r="J83" s="28">
        <f t="shared" si="9"/>
        <v>0</v>
      </c>
      <c r="K83" s="28">
        <f t="shared" si="9"/>
        <v>0</v>
      </c>
      <c r="L83" s="28">
        <f t="shared" si="9"/>
        <v>0</v>
      </c>
      <c r="M83" s="28">
        <f t="shared" si="9"/>
        <v>0</v>
      </c>
      <c r="N83" s="28">
        <f t="shared" si="9"/>
        <v>0</v>
      </c>
      <c r="O83" s="28">
        <f t="shared" si="9"/>
        <v>0</v>
      </c>
      <c r="P83" s="28">
        <f t="shared" si="9"/>
        <v>148708695.88</v>
      </c>
    </row>
    <row r="84" spans="1:16" x14ac:dyDescent="0.25">
      <c r="A84" s="56" t="s">
        <v>111</v>
      </c>
    </row>
    <row r="85" spans="1:16" ht="13.5" customHeight="1" x14ac:dyDescent="0.3">
      <c r="A85" s="31"/>
      <c r="B85" s="30"/>
      <c r="C85" s="30"/>
      <c r="D85" s="30"/>
      <c r="E85" s="31"/>
      <c r="F85" s="32"/>
      <c r="H85" s="33"/>
      <c r="I85" s="30"/>
    </row>
    <row r="86" spans="1:16" ht="18.75" x14ac:dyDescent="0.3">
      <c r="A86" s="31"/>
      <c r="B86" s="31" t="s">
        <v>101</v>
      </c>
      <c r="C86" s="30"/>
      <c r="D86" s="30"/>
      <c r="E86" s="30"/>
      <c r="F86" s="31" t="s">
        <v>102</v>
      </c>
      <c r="H86" s="32"/>
      <c r="J86" s="33"/>
      <c r="K86" s="30"/>
    </row>
    <row r="87" spans="1:16" ht="30" customHeight="1" x14ac:dyDescent="0.3">
      <c r="A87" s="34"/>
      <c r="B87" s="34" t="s">
        <v>103</v>
      </c>
      <c r="C87" s="32"/>
      <c r="D87" s="30"/>
      <c r="E87" s="30"/>
      <c r="F87" s="34" t="s">
        <v>103</v>
      </c>
      <c r="H87" s="34"/>
      <c r="I87" s="30"/>
      <c r="J87" s="30"/>
      <c r="K87" s="30"/>
    </row>
    <row r="88" spans="1:16" ht="18.75" x14ac:dyDescent="0.3">
      <c r="A88" s="32"/>
      <c r="B88" s="32" t="s">
        <v>104</v>
      </c>
      <c r="C88" s="32"/>
      <c r="D88" s="30"/>
      <c r="E88" s="30"/>
      <c r="F88" s="32" t="s">
        <v>105</v>
      </c>
      <c r="G88" s="46" t="s">
        <v>107</v>
      </c>
      <c r="H88" s="46"/>
      <c r="I88" s="46"/>
      <c r="J88" s="46"/>
      <c r="K88" s="30"/>
    </row>
    <row r="89" spans="1:16" s="54" customFormat="1" ht="18.75" x14ac:dyDescent="0.3">
      <c r="A89" s="31"/>
      <c r="B89" s="31" t="s">
        <v>106</v>
      </c>
      <c r="C89" s="31"/>
      <c r="D89" s="30"/>
      <c r="E89" s="30"/>
      <c r="F89" s="31" t="s">
        <v>108</v>
      </c>
      <c r="H89" s="31"/>
      <c r="I89" s="30"/>
      <c r="J89" s="30"/>
      <c r="K89" s="30"/>
    </row>
    <row r="90" spans="1:16" ht="18.75" x14ac:dyDescent="0.3">
      <c r="D90" s="30"/>
      <c r="E90" s="30"/>
      <c r="F90" s="30"/>
      <c r="H90" s="30"/>
      <c r="I90" s="30"/>
      <c r="J90" s="30"/>
      <c r="K90" s="30"/>
    </row>
    <row r="91" spans="1:16" ht="18.75" x14ac:dyDescent="0.25">
      <c r="B91" s="32"/>
    </row>
  </sheetData>
  <mergeCells count="10">
    <mergeCell ref="G88:J88"/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" right="0" top="0.19685039370078741" bottom="0.15748031496062992" header="0.31496062992125984" footer="0.31496062992125984"/>
  <pageSetup paperSize="5" scale="78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5" zoomScaleNormal="100" workbookViewId="0">
      <selection activeCell="H1" sqref="H1:M1048576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hidden="1" customWidth="1"/>
    <col min="9" max="9" width="13.85546875" hidden="1" customWidth="1"/>
    <col min="10" max="10" width="14" hidden="1" customWidth="1"/>
    <col min="11" max="11" width="13.28515625" hidden="1" customWidth="1"/>
    <col min="12" max="12" width="14.5703125" hidden="1" customWidth="1"/>
    <col min="13" max="13" width="14.140625" hidden="1" customWidth="1"/>
    <col min="14" max="14" width="14.5703125" customWidth="1"/>
  </cols>
  <sheetData>
    <row r="2" spans="1:15" ht="28.5" customHeight="1" x14ac:dyDescent="0.25">
      <c r="A2" s="50" t="s">
        <v>112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1" customHeight="1" x14ac:dyDescent="0.25">
      <c r="A3" s="52" t="s">
        <v>100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5.75" x14ac:dyDescent="0.25">
      <c r="A4" s="44">
        <v>2024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5" ht="15.75" customHeight="1" x14ac:dyDescent="0.25">
      <c r="A5" s="39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ht="15.75" customHeight="1" x14ac:dyDescent="0.25">
      <c r="A6" s="40" t="s">
        <v>77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15495728.01</v>
      </c>
      <c r="E10" s="25">
        <f t="shared" si="0"/>
        <v>14490865.289999999</v>
      </c>
      <c r="F10" s="25">
        <f t="shared" si="0"/>
        <v>26405869.960000001</v>
      </c>
      <c r="G10" s="25">
        <f t="shared" si="0"/>
        <v>14862186.59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99923793.719999999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f>11075307.09+660500+918000+745846.78</f>
        <v>13399653.869999999</v>
      </c>
      <c r="E11" s="24">
        <v>12344243.439999999</v>
      </c>
      <c r="F11" s="24">
        <v>24314245.59</v>
      </c>
      <c r="G11" s="24">
        <f>11954420.44+490000+57750+179453.16</f>
        <v>12681623.6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87087080.929999992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333500</v>
      </c>
      <c r="F12" s="24">
        <v>308500</v>
      </c>
      <c r="G12" s="24">
        <v>308500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1951000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f>825129.52+833242.3+104202.32</f>
        <v>1762574.1400000001</v>
      </c>
      <c r="E15" s="24">
        <v>1813121.85</v>
      </c>
      <c r="F15" s="24">
        <v>1783124.37</v>
      </c>
      <c r="G15" s="24">
        <f>876469.07+883553.85+112040.07</f>
        <v>1872062.99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10885712.790000001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6620670.3200000003</v>
      </c>
      <c r="C16" s="25">
        <f t="shared" si="1"/>
        <v>4391463.0600000005</v>
      </c>
      <c r="D16" s="25">
        <f t="shared" si="1"/>
        <v>8824323.0700000003</v>
      </c>
      <c r="E16" s="25">
        <f t="shared" si="1"/>
        <v>7688170.1600000001</v>
      </c>
      <c r="F16" s="25">
        <f t="shared" si="1"/>
        <v>5126390.13</v>
      </c>
      <c r="G16" s="25">
        <f>G17+G18+G19+G20+G21+G22+G23+G24+G25</f>
        <v>8206220.6700000009</v>
      </c>
      <c r="H16" s="25">
        <f t="shared" si="1"/>
        <v>0</v>
      </c>
      <c r="I16" s="25">
        <f t="shared" si="1"/>
        <v>0</v>
      </c>
      <c r="J16" s="25">
        <f t="shared" ref="J16:K16" si="2">J17+J18+J19+J20+J21+J22+J23+J24</f>
        <v>0</v>
      </c>
      <c r="K16" s="25">
        <f t="shared" si="2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40857237.410000004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f>531894.62+219894.11+999645.05+574030.01</f>
        <v>2325463.79</v>
      </c>
      <c r="E17" s="24">
        <v>2291313.2000000002</v>
      </c>
      <c r="F17" s="24">
        <f>474796.68+207121.11+993058.71+598636.33</f>
        <v>2273612.83</v>
      </c>
      <c r="G17" s="24">
        <f>476705.04+203644.1+993567.39+621874.83</f>
        <v>2295791.36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13687297.699999999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0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2909800</v>
      </c>
      <c r="E19" s="24">
        <v>1077200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7854000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13000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13000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f>2205964.26+76517.1</f>
        <v>2282481.36</v>
      </c>
      <c r="E21" s="24">
        <v>1670527.88</v>
      </c>
      <c r="F21" s="24">
        <v>1320277.21</v>
      </c>
      <c r="G21" s="24">
        <f>3095710.72+112853.43+99829.95</f>
        <v>3308394.1000000006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8799420.0500000007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978800.4</v>
      </c>
      <c r="E22" s="24">
        <v>1403825.58</v>
      </c>
      <c r="F22" s="24">
        <v>1336974.0900000001</v>
      </c>
      <c r="G22" s="24">
        <v>1105871.75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6760866.2599999998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308853.2</v>
      </c>
      <c r="F23" s="24">
        <v>10384</v>
      </c>
      <c r="G23" s="24">
        <f>498555.9+164413.33+155810.66</f>
        <v>818779.89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1241718.95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f>66000</f>
        <v>66000</v>
      </c>
      <c r="E24" s="24">
        <v>708000</v>
      </c>
      <c r="F24" s="24">
        <v>4602</v>
      </c>
      <c r="G24" s="24">
        <f>18408+303100</f>
        <v>321508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1126896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f>261777.52</f>
        <v>261777.52</v>
      </c>
      <c r="E25" s="24">
        <v>215450.3</v>
      </c>
      <c r="F25" s="24">
        <v>180540</v>
      </c>
      <c r="G25" s="24">
        <f>15458+263339.97+77077.6</f>
        <v>355875.56999999995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1374038.4499999997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195375.4</v>
      </c>
      <c r="E26" s="25">
        <f>E27+E28+E29+E30+E31+E32+E35+E33</f>
        <v>1282432.8799999999</v>
      </c>
      <c r="F26" s="25">
        <f>F27+F28+F29+F30+F31+F32+F33+F35</f>
        <v>1063414.23</v>
      </c>
      <c r="G26" s="25">
        <f>G27+G28+G29+G30+G31+G32+G33+G35</f>
        <v>2451261.69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7768757.6000000006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f>11260</f>
        <v>11260</v>
      </c>
      <c r="E27" s="24">
        <v>97335.29</v>
      </c>
      <c r="F27" s="24">
        <v>107385.66</v>
      </c>
      <c r="G27" s="24">
        <f>11520+13003.6</f>
        <v>24523.599999999999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4">SUM(B27:M27)</f>
        <v>276697.75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184115.4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4"/>
        <v>184115.4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218652.21</v>
      </c>
      <c r="F29" s="24">
        <v>0</v>
      </c>
      <c r="G29" s="24">
        <v>3450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4"/>
        <v>222102.21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4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198633.65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4"/>
        <v>198633.65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3457.86</v>
      </c>
      <c r="G32" s="24">
        <v>908.6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4"/>
        <v>4366.46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686600</v>
      </c>
      <c r="F33" s="24">
        <v>698600</v>
      </c>
      <c r="G33" s="24">
        <f>1696600+196900+102494.8+15539.18</f>
        <v>2011533.98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4"/>
        <v>6019941.9800000004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81211.73</v>
      </c>
      <c r="F35" s="24">
        <v>253970.71</v>
      </c>
      <c r="G35" s="24">
        <f>66759.67+211591.35+98395.83+30798+3300.66</f>
        <v>410845.51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4"/>
        <v>862900.15</v>
      </c>
    </row>
    <row r="36" spans="1:14" ht="17.25" customHeight="1" x14ac:dyDescent="0.25">
      <c r="A36" s="3" t="s">
        <v>27</v>
      </c>
      <c r="B36" s="25">
        <f t="shared" ref="B36:N36" si="5">B37+B38+B39+B40+B41+B42</f>
        <v>0</v>
      </c>
      <c r="C36" s="25">
        <f t="shared" si="5"/>
        <v>0</v>
      </c>
      <c r="D36" s="25">
        <f t="shared" si="5"/>
        <v>24000</v>
      </c>
      <c r="E36" s="25">
        <f t="shared" si="5"/>
        <v>0</v>
      </c>
      <c r="F36" s="25">
        <f t="shared" si="5"/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4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6">B46</f>
        <v>0</v>
      </c>
      <c r="C45" s="25">
        <f t="shared" si="6"/>
        <v>0</v>
      </c>
      <c r="D45" s="25">
        <f t="shared" si="6"/>
        <v>0</v>
      </c>
      <c r="E45" s="25">
        <f t="shared" si="6"/>
        <v>0</v>
      </c>
      <c r="F45" s="25">
        <f t="shared" si="6"/>
        <v>0</v>
      </c>
      <c r="G45" s="25">
        <f t="shared" si="6"/>
        <v>0</v>
      </c>
      <c r="H45" s="25">
        <f t="shared" si="6"/>
        <v>0</v>
      </c>
      <c r="I45" s="25">
        <f t="shared" si="6"/>
        <v>0</v>
      </c>
      <c r="J45" s="25">
        <f t="shared" si="6"/>
        <v>0</v>
      </c>
      <c r="K45" s="25">
        <f t="shared" si="6"/>
        <v>0</v>
      </c>
      <c r="L45" s="25">
        <f t="shared" si="6"/>
        <v>0</v>
      </c>
      <c r="M45" s="25">
        <f t="shared" si="6"/>
        <v>0</v>
      </c>
      <c r="N45" s="25">
        <f t="shared" si="6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94532.61</v>
      </c>
      <c r="G52" s="25">
        <f>G54+G53+G56+G57</f>
        <v>40374.540000000008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134907.15000000002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85632.61</v>
      </c>
      <c r="G53" s="24">
        <v>8685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94317.61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8900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8900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26397.24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26397.24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5292.3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5292.3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7">B63</f>
        <v>0</v>
      </c>
      <c r="C62" s="25">
        <f t="shared" si="7"/>
        <v>0</v>
      </c>
      <c r="D62" s="25">
        <f t="shared" si="7"/>
        <v>0</v>
      </c>
      <c r="E62" s="25">
        <f t="shared" si="7"/>
        <v>0</v>
      </c>
      <c r="F62" s="25">
        <f t="shared" si="7"/>
        <v>0</v>
      </c>
      <c r="G62" s="25">
        <f t="shared" si="7"/>
        <v>0</v>
      </c>
      <c r="H62" s="25">
        <f t="shared" si="7"/>
        <v>0</v>
      </c>
      <c r="I62" s="25">
        <f t="shared" si="7"/>
        <v>0</v>
      </c>
      <c r="J62" s="25">
        <f t="shared" si="7"/>
        <v>0</v>
      </c>
      <c r="K62" s="25">
        <f t="shared" si="7"/>
        <v>0</v>
      </c>
      <c r="L62" s="25">
        <f t="shared" si="7"/>
        <v>0</v>
      </c>
      <c r="M62" s="25">
        <f t="shared" si="7"/>
        <v>0</v>
      </c>
      <c r="N62" s="25">
        <f t="shared" si="7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D52+D16+D10+D26+D36</f>
        <v>24539426.479999997</v>
      </c>
      <c r="E83" s="26">
        <f>E52+E16+E10+E26</f>
        <v>23461468.329999998</v>
      </c>
      <c r="F83" s="26">
        <f>F52+F16+F10+F26</f>
        <v>32690206.930000003</v>
      </c>
      <c r="G83" s="26">
        <f>G52+G16+G10+G26</f>
        <v>25560043.490000002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148708695.88</v>
      </c>
    </row>
    <row r="84" spans="1:14" x14ac:dyDescent="0.25">
      <c r="A84" s="37" t="s">
        <v>111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2024-07-04T13:11:29Z</cp:lastPrinted>
  <dcterms:created xsi:type="dcterms:W3CDTF">2021-07-29T18:58:50Z</dcterms:created>
  <dcterms:modified xsi:type="dcterms:W3CDTF">2024-07-04T13:13:35Z</dcterms:modified>
</cp:coreProperties>
</file>