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es\AppData\Local\Microsoft\Windows\INetCache\Content.Outlook\61BHRTC6\"/>
    </mc:Choice>
  </mc:AlternateContent>
  <xr:revisionPtr revIDLastSave="0" documentId="13_ncr:1_{51AB6C79-38B0-4446-AB72-67B62880E45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3" l="1"/>
  <c r="E10" i="3"/>
  <c r="C16" i="2"/>
  <c r="D16" i="2"/>
  <c r="F16" i="2"/>
  <c r="H16" i="2"/>
  <c r="Q38" i="2" l="1"/>
  <c r="E26" i="3"/>
  <c r="H36" i="2"/>
  <c r="H30" i="2"/>
  <c r="H20" i="2"/>
  <c r="H12" i="2"/>
  <c r="H26" i="2" l="1"/>
  <c r="H23" i="2"/>
  <c r="G22" i="2"/>
  <c r="G18" i="2"/>
  <c r="F24" i="2"/>
  <c r="H18" i="2" l="1"/>
  <c r="H17" i="2" s="1"/>
  <c r="E18" i="1"/>
  <c r="G17" i="2"/>
  <c r="N37" i="3" l="1"/>
  <c r="D16" i="3"/>
  <c r="D27" i="3"/>
  <c r="D25" i="3"/>
  <c r="D24" i="3"/>
  <c r="D21" i="3"/>
  <c r="D17" i="3"/>
  <c r="D11" i="3"/>
  <c r="D15" i="3"/>
  <c r="C26" i="3"/>
  <c r="F36" i="2" l="1"/>
  <c r="F28" i="2"/>
  <c r="F26" i="2"/>
  <c r="F18" i="2" l="1"/>
  <c r="F17" i="2" s="1"/>
  <c r="F12" i="2"/>
  <c r="B16" i="3"/>
  <c r="C12" i="2"/>
  <c r="C13" i="2"/>
  <c r="D13" i="2"/>
  <c r="D12" i="2"/>
  <c r="E17" i="2"/>
  <c r="C16" i="3"/>
  <c r="D28" i="1"/>
  <c r="D12" i="1"/>
  <c r="M16" i="3"/>
  <c r="M26" i="3"/>
  <c r="M52" i="3"/>
  <c r="P17" i="2"/>
  <c r="L16" i="3"/>
  <c r="E54" i="1"/>
  <c r="K26" i="3"/>
  <c r="Q35" i="2"/>
  <c r="Q58" i="2"/>
  <c r="Q57" i="2"/>
  <c r="Q56" i="2"/>
  <c r="C11" i="2" l="1"/>
  <c r="H16" i="3"/>
  <c r="H52" i="3"/>
  <c r="H26" i="3"/>
  <c r="K17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K52" i="3"/>
  <c r="D52" i="3"/>
  <c r="C52" i="3"/>
  <c r="B52" i="3"/>
  <c r="B26" i="3"/>
  <c r="C17" i="2"/>
  <c r="D18" i="1" l="1"/>
  <c r="M10" i="3"/>
  <c r="D53" i="2"/>
  <c r="P53" i="2"/>
  <c r="D37" i="2"/>
  <c r="D17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K16" i="3"/>
  <c r="J16" i="3"/>
  <c r="G16" i="3"/>
  <c r="F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D10" i="3"/>
  <c r="D83" i="3" s="1"/>
  <c r="C10" i="3"/>
  <c r="B10" i="3"/>
  <c r="N11" i="3"/>
  <c r="Q55" i="2"/>
  <c r="Q54" i="2"/>
  <c r="I53" i="2"/>
  <c r="O53" i="2"/>
  <c r="N53" i="2"/>
  <c r="M53" i="2"/>
  <c r="L53" i="2"/>
  <c r="K53" i="2"/>
  <c r="J53" i="2"/>
  <c r="Q30" i="2"/>
  <c r="Q36" i="2"/>
  <c r="Q34" i="2"/>
  <c r="Q33" i="2"/>
  <c r="Q32" i="2"/>
  <c r="Q31" i="2"/>
  <c r="Q29" i="2"/>
  <c r="Q28" i="2"/>
  <c r="Q26" i="2"/>
  <c r="Q24" i="2"/>
  <c r="Q21" i="2"/>
  <c r="Q20" i="2"/>
  <c r="Q19" i="2"/>
  <c r="L17" i="2"/>
  <c r="Q25" i="2"/>
  <c r="Q23" i="2"/>
  <c r="Q22" i="2"/>
  <c r="Q18" i="2"/>
  <c r="Q16" i="2"/>
  <c r="Q13" i="2"/>
  <c r="Q12" i="2"/>
  <c r="H53" i="2"/>
  <c r="G53" i="2"/>
  <c r="F53" i="2"/>
  <c r="E53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P27" i="2"/>
  <c r="O27" i="2"/>
  <c r="N27" i="2"/>
  <c r="M27" i="2"/>
  <c r="L27" i="2"/>
  <c r="K27" i="2"/>
  <c r="J27" i="2"/>
  <c r="I27" i="2"/>
  <c r="H27" i="2"/>
  <c r="G27" i="2"/>
  <c r="F27" i="2"/>
  <c r="E27" i="2"/>
  <c r="O17" i="2"/>
  <c r="N17" i="2"/>
  <c r="M17" i="2"/>
  <c r="J17" i="2"/>
  <c r="I17" i="2"/>
  <c r="P11" i="2"/>
  <c r="O11" i="2"/>
  <c r="N11" i="2"/>
  <c r="M11" i="2"/>
  <c r="L11" i="2"/>
  <c r="K11" i="2"/>
  <c r="J11" i="2"/>
  <c r="I11" i="2"/>
  <c r="H11" i="2"/>
  <c r="G11" i="2"/>
  <c r="F11" i="2"/>
  <c r="E11" i="2"/>
  <c r="C53" i="2"/>
  <c r="C37" i="2"/>
  <c r="D27" i="2"/>
  <c r="C27" i="2"/>
  <c r="D11" i="2"/>
  <c r="Q11" i="2" l="1"/>
  <c r="E83" i="3"/>
  <c r="C83" i="3"/>
  <c r="B83" i="3"/>
  <c r="M83" i="3"/>
  <c r="F83" i="3"/>
  <c r="G83" i="3"/>
  <c r="J83" i="3"/>
  <c r="L83" i="3"/>
  <c r="C84" i="2"/>
  <c r="Q53" i="2"/>
  <c r="D84" i="2"/>
  <c r="I83" i="3"/>
  <c r="N26" i="3"/>
  <c r="N10" i="3"/>
  <c r="N16" i="3"/>
  <c r="N52" i="3"/>
  <c r="Q27" i="2"/>
  <c r="G84" i="2"/>
  <c r="H84" i="2"/>
  <c r="Q17" i="2"/>
  <c r="P84" i="2"/>
  <c r="J84" i="2"/>
  <c r="N84" i="2"/>
  <c r="O84" i="2"/>
  <c r="I84" i="2"/>
  <c r="M84" i="2"/>
  <c r="L84" i="2"/>
  <c r="K84" i="2"/>
  <c r="F84" i="2"/>
  <c r="E84" i="2"/>
  <c r="D54" i="1"/>
  <c r="E38" i="1"/>
  <c r="D38" i="1"/>
  <c r="E28" i="1"/>
  <c r="E12" i="1"/>
  <c r="N83" i="3" l="1"/>
  <c r="E85" i="1"/>
  <c r="D85" i="1"/>
  <c r="Q84" i="2"/>
</calcChain>
</file>

<file path=xl/sharedStrings.xml><?xml version="1.0" encoding="utf-8"?>
<sst xmlns="http://schemas.openxmlformats.org/spreadsheetml/2006/main" count="294" uniqueCount="119">
  <si>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</si>
  <si>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</si>
  <si>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</si>
  <si>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</si>
  <si>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</si>
  <si>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</si>
  <si>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</si>
  <si>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</si>
  <si>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</si>
  <si>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</si>
  <si>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</si>
  <si>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</si>
  <si>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</si>
  <si>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</si>
  <si>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</si>
  <si>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</si>
  <si>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</si>
  <si>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</si>
  <si>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</si>
  <si>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</si>
  <si>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</si>
  <si>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</si>
  <si>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</si>
  <si>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</si>
  <si>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</si>
  <si>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</si>
  <si>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</si>
  <si>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</si>
  <si>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</si>
  <si>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</si>
  <si>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</si>
  <si>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</si>
  <si>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</si>
  <si>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</si>
  <si>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</si>
  <si>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</si>
  <si>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</si>
  <si>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</si>
  <si>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</si>
  <si>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</si>
  <si>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</si>
  <si>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</si>
  <si>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</si>
  <si>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</si>
  <si>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</si>
  <si>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</si>
  <si>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</si>
  <si>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</si>
  <si>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</si>
  <si>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</si>
  <si>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</si>
  <si>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</si>
  <si>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</si>
  <si>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</si>
  <si>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</si>
  <si>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</si>
  <si>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</si>
  <si>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</si>
  <si>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</si>
  <si>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</si>
  <si>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</si>
  <si>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</si>
  <si>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</si>
  <si>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</si>
  <si>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</si>
  <si>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</si>
  <si>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</si>
  <si>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</si>
  <si>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</si>
  <si>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</si>
  <si>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</si>
  <si>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</si>
  <si>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</si>
  <si>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</si>
  <si>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</si>
  <si>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</si>
  <si>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</si>
  <si>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</si>
  <si>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</si>
  <si>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</si>
  <si>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</si>
  <si>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</si>
  <si>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</si>
  <si>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</si>
  <si>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</si>
  <si>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</si>
  <si>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</si>
  <si>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</si>
  <si>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</si>
  <si>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</si>
  <si>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</si>
  <si>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</si>
  <si>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</si>
  <si>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</si>
  <si>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</si>
  <si>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</si>
  <si>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</si>
  <si>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</si>
  <si>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</si>
  <si>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</si>
  <si>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</si>
  <si>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</si>
  <si>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</si>
  <si>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</si>
  <si>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</si>
  <si>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</si>
  <si>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</si>
  <si>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</si>
  <si>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</si>
  <si>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</si>
  <si>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Nota: Reintegros por devolución de subsidio enfermedad común RD$102,784.27</t>
  </si>
  <si>
    <t>MINISTERIO DE ECONOMIA, PLANIFICACION Y DESARROLLO</t>
  </si>
  <si>
    <t>Sept</t>
  </si>
  <si>
    <t>Nov</t>
  </si>
  <si>
    <t>Dic</t>
  </si>
  <si>
    <t xml:space="preserve">                          Humberto Méndez de la Cruz</t>
  </si>
  <si>
    <t xml:space="preserve">                                                                                                                               Analista de Presupuesto – SIUBEN    </t>
  </si>
  <si>
    <t xml:space="preserve">                                                                                                                                    Director  Administrativo y Financiero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</si>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</sst>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u/>
      <sz val="11"/>
      <color theme="10"/>
      <name val="Calibri"/>
      <family val="2"/>
      <scheme val="minor"/>
    </font>
    <font>
      <i/>
      <sz val="12"/>
      <color rgb="FF000000"/>
      <name val="Calibri"/>
      <family val="2"/>
    </font>
    <font>
      <i/>
      <sz val="11"/>
      <name val="Gotham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2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514330</xdr:colOff>
      <xdr:row>0</xdr:row>
      <xdr:rowOff>1</xdr:rowOff>
    </xdr:from>
    <xdr:to>
      <xdr:col>16</xdr:col>
      <xdr:colOff>600075</xdr:colOff>
      <xdr:row>7</xdr:row>
      <xdr:rowOff>27082</xdr:rowOff>
    </xdr:to>
    <xdr:pic>
      <xdr:nvPicPr>
        <xdr:cNvPr id="4" name="Imagen 2" descr="Logotipo&#10;&#10;Descripción generada automáticamente">
          <a:extLst>
            <a:ext uri="{FF2B5EF4-FFF2-40B4-BE49-F238E27FC236}">
              <a16:creationId xmlns:a16="http://schemas.microsoft.com/office/drawing/2014/main" id="{614BC197-183F-4D36-BD1B-F5666BAE0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55" y="1"/>
          <a:ext cx="1190645" cy="9510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5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582775" y="361950"/>
          <a:ext cx="1943099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11</xdr:col>
      <xdr:colOff>790576</xdr:colOff>
      <xdr:row>1</xdr:row>
      <xdr:rowOff>152400</xdr:rowOff>
    </xdr:from>
    <xdr:to>
      <xdr:col>13</xdr:col>
      <xdr:colOff>659287</xdr:colOff>
      <xdr:row>5</xdr:row>
      <xdr:rowOff>164100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5651" y="3429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8" workbookViewId="0">
      <selection activeCell="H8" sqref="H8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2" t="s">
        <v>98</v>
      </c>
      <c r="D3" s="52"/>
      <c r="E3" s="52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52" t="s">
        <v>99</v>
      </c>
      <c r="D4" s="52"/>
      <c r="E4" s="52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58">
        <v>2024</v>
      </c>
      <c r="D5" s="59"/>
      <c r="E5" s="5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53" t="s">
        <v>76</v>
      </c>
      <c r="D6" s="54"/>
      <c r="E6" s="54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53" t="s">
        <v>77</v>
      </c>
      <c r="D7" s="54"/>
      <c r="E7" s="5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55" t="s">
        <v>66</v>
      </c>
      <c r="D9" s="56" t="s">
        <v>94</v>
      </c>
      <c r="E9" s="56" t="s">
        <v>93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220213213</v>
      </c>
      <c r="E12" s="4">
        <f>E13+E14+E17</f>
        <v>206803213</v>
      </c>
      <c r="F12" s="8"/>
    </row>
    <row r="13" spans="2:16" x14ac:dyDescent="0.25">
      <c r="C13" s="5" t="s">
        <v>2</v>
      </c>
      <c r="D13" s="6">
        <v>169461162</v>
      </c>
      <c r="E13" s="6">
        <v>156051162</v>
      </c>
      <c r="F13" s="8"/>
    </row>
    <row r="14" spans="2:16" x14ac:dyDescent="0.25">
      <c r="C14" s="5" t="s">
        <v>3</v>
      </c>
      <c r="D14" s="6">
        <v>28002000</v>
      </c>
      <c r="E14" s="6">
        <v>28002000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22750051</v>
      </c>
      <c r="E17" s="6">
        <v>22750051</v>
      </c>
      <c r="F17" s="8"/>
    </row>
    <row r="18" spans="3:6" x14ac:dyDescent="0.25">
      <c r="C18" s="3" t="s">
        <v>7</v>
      </c>
      <c r="D18" s="4">
        <f>D19+D20+D21+D22+D23+D24+D25+D26+D27</f>
        <v>78140849</v>
      </c>
      <c r="E18" s="4">
        <f>E19+E20+E21+E22+E23+E24+E25+E26+E27</f>
        <v>91550849</v>
      </c>
      <c r="F18" s="8"/>
    </row>
    <row r="19" spans="3:6" x14ac:dyDescent="0.25">
      <c r="C19" s="5" t="s">
        <v>8</v>
      </c>
      <c r="D19" s="6">
        <v>23080000</v>
      </c>
      <c r="E19" s="6">
        <v>23080000</v>
      </c>
      <c r="F19" s="8"/>
    </row>
    <row r="20" spans="3:6" x14ac:dyDescent="0.25">
      <c r="C20" s="5" t="s">
        <v>9</v>
      </c>
      <c r="D20" s="6">
        <v>515000</v>
      </c>
      <c r="E20" s="6">
        <v>515000</v>
      </c>
      <c r="F20" s="8"/>
    </row>
    <row r="21" spans="3:6" x14ac:dyDescent="0.25">
      <c r="C21" s="5" t="s">
        <v>10</v>
      </c>
      <c r="D21" s="6">
        <v>4200000</v>
      </c>
      <c r="E21" s="6">
        <v>17610000</v>
      </c>
      <c r="F21" s="8"/>
    </row>
    <row r="22" spans="3:6" x14ac:dyDescent="0.25">
      <c r="C22" s="5" t="s">
        <v>11</v>
      </c>
      <c r="D22" s="6">
        <v>2720000</v>
      </c>
      <c r="E22" s="6">
        <v>2770000</v>
      </c>
      <c r="F22" s="8"/>
    </row>
    <row r="23" spans="3:6" x14ac:dyDescent="0.25">
      <c r="C23" s="5" t="s">
        <v>12</v>
      </c>
      <c r="D23" s="6">
        <v>22629000</v>
      </c>
      <c r="E23" s="6">
        <v>22874000</v>
      </c>
    </row>
    <row r="24" spans="3:6" x14ac:dyDescent="0.25">
      <c r="C24" s="5" t="s">
        <v>13</v>
      </c>
      <c r="D24" s="6">
        <v>13300000</v>
      </c>
      <c r="E24" s="6">
        <v>13300000</v>
      </c>
    </row>
    <row r="25" spans="3:6" x14ac:dyDescent="0.25">
      <c r="C25" s="5" t="s">
        <v>14</v>
      </c>
      <c r="D25" s="6">
        <v>4900000</v>
      </c>
      <c r="E25" s="6">
        <v>4918500</v>
      </c>
    </row>
    <row r="26" spans="3:6" x14ac:dyDescent="0.25">
      <c r="C26" s="5" t="s">
        <v>15</v>
      </c>
      <c r="D26" s="6">
        <v>3896849</v>
      </c>
      <c r="E26" s="6">
        <v>3583349</v>
      </c>
    </row>
    <row r="27" spans="3:6" x14ac:dyDescent="0.25">
      <c r="C27" s="5" t="s">
        <v>16</v>
      </c>
      <c r="D27" s="6">
        <v>2900000</v>
      </c>
      <c r="E27" s="6">
        <v>2900000</v>
      </c>
    </row>
    <row r="28" spans="3:6" x14ac:dyDescent="0.25">
      <c r="C28" s="3" t="s">
        <v>17</v>
      </c>
      <c r="D28" s="4">
        <f>D29+D30+D31+D32+D33+D34+D35+D37</f>
        <v>15617678</v>
      </c>
      <c r="E28" s="4">
        <f>E29+E30+E31+E32+E33+E34+E35+E37</f>
        <v>15617678</v>
      </c>
    </row>
    <row r="29" spans="3:6" x14ac:dyDescent="0.25">
      <c r="C29" s="5" t="s">
        <v>18</v>
      </c>
      <c r="D29" s="6">
        <v>665000</v>
      </c>
      <c r="E29" s="6">
        <v>970000</v>
      </c>
    </row>
    <row r="30" spans="3:6" x14ac:dyDescent="0.25">
      <c r="C30" s="5" t="s">
        <v>19</v>
      </c>
      <c r="D30" s="6">
        <v>448000</v>
      </c>
      <c r="E30" s="6">
        <v>448000</v>
      </c>
    </row>
    <row r="31" spans="3:6" x14ac:dyDescent="0.25">
      <c r="C31" s="5" t="s">
        <v>20</v>
      </c>
      <c r="D31" s="6">
        <v>675000</v>
      </c>
      <c r="E31" s="6">
        <v>595000</v>
      </c>
    </row>
    <row r="32" spans="3:6" x14ac:dyDescent="0.25">
      <c r="C32" s="5" t="s">
        <v>21</v>
      </c>
      <c r="D32" s="6">
        <v>10000</v>
      </c>
      <c r="E32" s="6">
        <v>10000</v>
      </c>
    </row>
    <row r="33" spans="3:5" x14ac:dyDescent="0.25">
      <c r="C33" s="5" t="s">
        <v>22</v>
      </c>
      <c r="D33" s="6">
        <v>700000</v>
      </c>
      <c r="E33" s="6">
        <v>560000</v>
      </c>
    </row>
    <row r="34" spans="3:5" x14ac:dyDescent="0.25">
      <c r="C34" s="5" t="s">
        <v>23</v>
      </c>
      <c r="D34" s="6">
        <v>119678</v>
      </c>
      <c r="E34" s="6">
        <v>99678</v>
      </c>
    </row>
    <row r="35" spans="3:5" x14ac:dyDescent="0.25">
      <c r="C35" s="5" t="s">
        <v>24</v>
      </c>
      <c r="D35" s="6">
        <v>11100000</v>
      </c>
      <c r="E35" s="6">
        <v>11385000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1900000</v>
      </c>
      <c r="E37" s="6">
        <v>1550000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3000000</v>
      </c>
      <c r="E54" s="4">
        <f>E55+E58+E59+E56</f>
        <v>3000000</v>
      </c>
    </row>
    <row r="55" spans="3:5" x14ac:dyDescent="0.25">
      <c r="C55" s="5" t="s">
        <v>44</v>
      </c>
      <c r="D55" s="6">
        <v>1900000</v>
      </c>
      <c r="E55" s="6">
        <v>1900000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1100000</v>
      </c>
      <c r="E59" s="6">
        <v>1100000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317021740</v>
      </c>
      <c r="E85" s="23">
        <f>E54+E38+E28+E18+E12</f>
        <v>317021740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1"/>
  <sheetViews>
    <sheetView showGridLines="0" workbookViewId="0">
      <selection activeCell="D21" sqref="D21"/>
    </sheetView>
  </sheetViews>
  <sheetFormatPr defaultColWidth="11.42578125" defaultRowHeight="15" x14ac:dyDescent="0.25"/>
  <cols>
    <col min="1" max="1" width="4" customWidth="1"/>
    <col min="2" max="2" width="51.85546875" style="39" customWidth="1"/>
    <col min="3" max="3" width="17" customWidth="1"/>
    <col min="4" max="4" width="14.7109375" customWidth="1"/>
    <col min="5" max="5" width="13.140625" customWidth="1"/>
    <col min="6" max="6" width="15.140625" customWidth="1"/>
    <col min="7" max="8" width="13.28515625" customWidth="1"/>
    <col min="9" max="16" width="8.28515625" customWidth="1"/>
    <col min="17" max="17" width="13.7109375" customWidth="1"/>
  </cols>
  <sheetData>
    <row r="1" spans="1:18" ht="15.75" customHeight="1" x14ac:dyDescent="0.25">
      <c r="A1" s="64" t="s">
        <v>111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8" ht="15.75" customHeight="1" x14ac:dyDescent="0.25">
      <c r="A2" s="66" t="s">
        <v>100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8" ht="12" customHeight="1" x14ac:dyDescent="0.25">
      <c r="A3" s="58">
        <v>2024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8" ht="15.75" customHeight="1" x14ac:dyDescent="0.25">
      <c r="A4" s="53" t="s">
        <v>92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8" ht="13.5" customHeight="1" x14ac:dyDescent="0.25">
      <c r="A5" s="54" t="s">
        <v>77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Q5" s="38"/>
    </row>
    <row r="6" spans="1:18" ht="7.5" hidden="1" customHeight="1" x14ac:dyDescent="0.25"/>
    <row r="7" spans="1:18" hidden="1" x14ac:dyDescent="0.25"/>
    <row r="8" spans="1:18" ht="25.5" customHeight="1" x14ac:dyDescent="0.25">
      <c r="B8" s="63" t="s">
        <v>66</v>
      </c>
      <c r="C8" s="56" t="s">
        <v>94</v>
      </c>
      <c r="D8" s="56" t="s">
        <v>93</v>
      </c>
      <c r="E8" s="60" t="s">
        <v>91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2"/>
    </row>
    <row r="9" spans="1:18" x14ac:dyDescent="0.25">
      <c r="B9" s="63"/>
      <c r="C9" s="57"/>
      <c r="D9" s="57"/>
      <c r="E9" s="15" t="s">
        <v>79</v>
      </c>
      <c r="F9" s="15" t="s">
        <v>80</v>
      </c>
      <c r="G9" s="15" t="s">
        <v>81</v>
      </c>
      <c r="H9" s="15" t="s">
        <v>82</v>
      </c>
      <c r="I9" s="16" t="s">
        <v>83</v>
      </c>
      <c r="J9" s="15" t="s">
        <v>84</v>
      </c>
      <c r="K9" s="16" t="s">
        <v>85</v>
      </c>
      <c r="L9" s="15" t="s">
        <v>86</v>
      </c>
      <c r="M9" s="15" t="s">
        <v>112</v>
      </c>
      <c r="N9" s="15" t="s">
        <v>88</v>
      </c>
      <c r="O9" s="15" t="s">
        <v>113</v>
      </c>
      <c r="P9" s="16" t="s">
        <v>114</v>
      </c>
      <c r="Q9" s="15" t="s">
        <v>78</v>
      </c>
    </row>
    <row r="10" spans="1:18" x14ac:dyDescent="0.25">
      <c r="B10" s="40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8" x14ac:dyDescent="0.25">
      <c r="B11" s="41" t="s">
        <v>1</v>
      </c>
      <c r="C11" s="25">
        <f>C12+C13+C16</f>
        <v>220213213</v>
      </c>
      <c r="D11" s="25">
        <f>D12+D13+D16</f>
        <v>206803213</v>
      </c>
      <c r="E11" s="25">
        <f t="shared" ref="E11:P11" si="0">E12+E13+E16</f>
        <v>14296930.99</v>
      </c>
      <c r="F11" s="25">
        <f t="shared" si="0"/>
        <v>14372212.880000001</v>
      </c>
      <c r="G11" s="25">
        <f t="shared" si="0"/>
        <v>15495728.01</v>
      </c>
      <c r="H11" s="25">
        <f t="shared" si="0"/>
        <v>14490865.289999999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 t="shared" si="0"/>
        <v>0</v>
      </c>
      <c r="Q11" s="25">
        <f>SUM(E11:P11)</f>
        <v>58655737.170000002</v>
      </c>
    </row>
    <row r="12" spans="1:18" x14ac:dyDescent="0.25">
      <c r="B12" s="42" t="s">
        <v>2</v>
      </c>
      <c r="C12" s="24">
        <f>145407162+6404000+12450000+3700000+1500000</f>
        <v>169461162</v>
      </c>
      <c r="D12" s="24">
        <f>131997162+6404000+12450000+3700000+1500000</f>
        <v>156051162</v>
      </c>
      <c r="E12" s="24">
        <v>12143507.34</v>
      </c>
      <c r="F12" s="24">
        <f>11376807.09+827000</f>
        <v>12203807.09</v>
      </c>
      <c r="G12" s="24">
        <v>13399653.869999999</v>
      </c>
      <c r="H12" s="24">
        <f>11494685.07+563000+286558.37</f>
        <v>12344243.439999999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f>SUM(E12:P12)</f>
        <v>50091211.739999995</v>
      </c>
    </row>
    <row r="13" spans="1:18" x14ac:dyDescent="0.25">
      <c r="B13" s="42" t="s">
        <v>3</v>
      </c>
      <c r="C13" s="24">
        <f>4002000+12000000+12000000</f>
        <v>28002000</v>
      </c>
      <c r="D13" s="24">
        <f>4002000+12000000+12000000</f>
        <v>28002000</v>
      </c>
      <c r="E13" s="24">
        <v>333500</v>
      </c>
      <c r="F13" s="24">
        <v>333500</v>
      </c>
      <c r="G13" s="24">
        <v>333500</v>
      </c>
      <c r="H13" s="24">
        <v>333500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f>SUM(E13:P13)</f>
        <v>1334000</v>
      </c>
    </row>
    <row r="14" spans="1:18" x14ac:dyDescent="0.25">
      <c r="B14" s="42" t="s">
        <v>4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17"/>
    </row>
    <row r="15" spans="1:18" x14ac:dyDescent="0.25">
      <c r="B15" s="42" t="s">
        <v>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</row>
    <row r="16" spans="1:18" x14ac:dyDescent="0.25">
      <c r="B16" s="42" t="s">
        <v>6</v>
      </c>
      <c r="C16" s="24">
        <f>10570151+10854000+1325900</f>
        <v>22750051</v>
      </c>
      <c r="D16" s="24">
        <f>10570151+10854000+1325900</f>
        <v>22750051</v>
      </c>
      <c r="E16" s="24">
        <v>1819923.65</v>
      </c>
      <c r="F16" s="24">
        <f>859409.67+866470.3+109025.82</f>
        <v>1834905.7900000003</v>
      </c>
      <c r="G16" s="24">
        <v>1762574.14</v>
      </c>
      <c r="H16" s="24">
        <f>849049.59+856095.62+107976.64</f>
        <v>1813121.8499999999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f t="shared" ref="Q16:Q26" si="1">SUM(E16:P16)</f>
        <v>7230525.4299999997</v>
      </c>
    </row>
    <row r="17" spans="2:17" x14ac:dyDescent="0.25">
      <c r="B17" s="41" t="s">
        <v>7</v>
      </c>
      <c r="C17" s="25">
        <f t="shared" ref="C17:H17" si="2">C18+C19+C20+C21+C22+C23+C24+C25+C26</f>
        <v>78140849</v>
      </c>
      <c r="D17" s="25">
        <f t="shared" si="2"/>
        <v>91550849</v>
      </c>
      <c r="E17" s="25">
        <f t="shared" si="2"/>
        <v>6620670.3200000003</v>
      </c>
      <c r="F17" s="25">
        <f t="shared" si="2"/>
        <v>4391463.0600000005</v>
      </c>
      <c r="G17" s="25">
        <f t="shared" si="2"/>
        <v>8824323.0700000003</v>
      </c>
      <c r="H17" s="25">
        <f t="shared" si="2"/>
        <v>7688170.1600000001</v>
      </c>
      <c r="I17" s="25">
        <f t="shared" ref="I17:O17" si="3">I18+I19+I20+I21+I22+I23+I24+I25</f>
        <v>0</v>
      </c>
      <c r="J17" s="25">
        <f t="shared" si="3"/>
        <v>0</v>
      </c>
      <c r="K17" s="25">
        <f>K18+K19+K20+K21+K22+K23+K24+K25+K26</f>
        <v>0</v>
      </c>
      <c r="L17" s="25">
        <f>L18+L19+L20+L21+L22+L23+L24+L25+L26</f>
        <v>0</v>
      </c>
      <c r="M17" s="25">
        <f t="shared" si="3"/>
        <v>0</v>
      </c>
      <c r="N17" s="25">
        <f t="shared" si="3"/>
        <v>0</v>
      </c>
      <c r="O17" s="25">
        <f t="shared" si="3"/>
        <v>0</v>
      </c>
      <c r="P17" s="25">
        <f>P18+P19+P20+P21+P22+P23+P24+P25+P26</f>
        <v>0</v>
      </c>
      <c r="Q17" s="25">
        <f t="shared" si="1"/>
        <v>27524626.610000003</v>
      </c>
    </row>
    <row r="18" spans="2:17" x14ac:dyDescent="0.25">
      <c r="B18" s="42" t="s">
        <v>8</v>
      </c>
      <c r="C18" s="24">
        <v>23080000</v>
      </c>
      <c r="D18" s="24">
        <v>23080000</v>
      </c>
      <c r="E18" s="24">
        <v>2305139.54</v>
      </c>
      <c r="F18" s="24">
        <f>435773.34+200867.09+986583.16+572753.39</f>
        <v>2195976.98</v>
      </c>
      <c r="G18" s="24">
        <f>531894.62+219894.11+999645.05+574030.01</f>
        <v>2325463.79</v>
      </c>
      <c r="H18" s="24">
        <f>484997.82+212250.14+991064.55+603000.69</f>
        <v>2291313.2000000002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f t="shared" si="1"/>
        <v>9117893.5099999998</v>
      </c>
    </row>
    <row r="19" spans="2:17" x14ac:dyDescent="0.25">
      <c r="B19" s="42" t="s">
        <v>9</v>
      </c>
      <c r="C19" s="24">
        <v>515000</v>
      </c>
      <c r="D19" s="24">
        <v>515000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f t="shared" si="1"/>
        <v>0</v>
      </c>
    </row>
    <row r="20" spans="2:17" x14ac:dyDescent="0.25">
      <c r="B20" s="42" t="s">
        <v>10</v>
      </c>
      <c r="C20" s="24">
        <v>4200000</v>
      </c>
      <c r="D20" s="24">
        <v>17610000</v>
      </c>
      <c r="E20" s="24">
        <v>2686800</v>
      </c>
      <c r="F20" s="24">
        <v>1180200</v>
      </c>
      <c r="G20" s="24">
        <v>2909800</v>
      </c>
      <c r="H20" s="24">
        <f>879200+198000</f>
        <v>1077200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f t="shared" si="1"/>
        <v>7854000</v>
      </c>
    </row>
    <row r="21" spans="2:17" x14ac:dyDescent="0.25">
      <c r="B21" s="42" t="s">
        <v>11</v>
      </c>
      <c r="C21" s="24">
        <v>2720000</v>
      </c>
      <c r="D21" s="24">
        <v>2770000</v>
      </c>
      <c r="E21" s="24">
        <v>0</v>
      </c>
      <c r="F21" s="24">
        <v>0</v>
      </c>
      <c r="G21" s="24">
        <v>0</v>
      </c>
      <c r="H21" s="24">
        <v>13000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f t="shared" si="1"/>
        <v>13000</v>
      </c>
    </row>
    <row r="22" spans="2:17" x14ac:dyDescent="0.25">
      <c r="B22" s="42" t="s">
        <v>12</v>
      </c>
      <c r="C22" s="24">
        <v>22629000</v>
      </c>
      <c r="D22" s="24">
        <v>22874000</v>
      </c>
      <c r="E22" s="24">
        <v>1346926.08</v>
      </c>
      <c r="F22" s="24">
        <v>217739.5</v>
      </c>
      <c r="G22" s="24">
        <f>2205964.26+76517.1</f>
        <v>2282481.36</v>
      </c>
      <c r="H22" s="24">
        <v>1670527.88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f t="shared" si="1"/>
        <v>5517674.8200000003</v>
      </c>
    </row>
    <row r="23" spans="2:17" x14ac:dyDescent="0.25">
      <c r="B23" s="42" t="s">
        <v>13</v>
      </c>
      <c r="C23" s="24">
        <v>13300000</v>
      </c>
      <c r="D23" s="24">
        <v>13300000</v>
      </c>
      <c r="E23" s="24">
        <v>0</v>
      </c>
      <c r="F23" s="24">
        <v>588468.36</v>
      </c>
      <c r="G23" s="24">
        <v>978800.4</v>
      </c>
      <c r="H23" s="24">
        <f>347489.18+1056336.4</f>
        <v>1403825.5799999998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f t="shared" si="1"/>
        <v>2971094.34</v>
      </c>
    </row>
    <row r="24" spans="2:17" ht="30" x14ac:dyDescent="0.25">
      <c r="B24" s="42" t="s">
        <v>14</v>
      </c>
      <c r="C24" s="24">
        <v>4900000</v>
      </c>
      <c r="D24" s="24">
        <v>4918500</v>
      </c>
      <c r="E24" s="24">
        <v>0</v>
      </c>
      <c r="F24" s="24">
        <f>49135.2+54566.66</f>
        <v>103701.86</v>
      </c>
      <c r="G24" s="24">
        <v>0</v>
      </c>
      <c r="H24" s="24">
        <v>308853.2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f t="shared" si="1"/>
        <v>412555.06</v>
      </c>
    </row>
    <row r="25" spans="2:17" ht="30" x14ac:dyDescent="0.25">
      <c r="B25" s="42" t="s">
        <v>15</v>
      </c>
      <c r="C25" s="24">
        <v>3896849</v>
      </c>
      <c r="D25" s="24">
        <v>3583349</v>
      </c>
      <c r="E25" s="24">
        <v>0</v>
      </c>
      <c r="F25" s="24">
        <v>26786</v>
      </c>
      <c r="G25" s="24">
        <v>66000</v>
      </c>
      <c r="H25" s="24">
        <v>708000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f t="shared" si="1"/>
        <v>800786</v>
      </c>
    </row>
    <row r="26" spans="2:17" x14ac:dyDescent="0.25">
      <c r="B26" s="42" t="s">
        <v>16</v>
      </c>
      <c r="C26" s="24">
        <v>2900000</v>
      </c>
      <c r="D26" s="24">
        <v>2900000</v>
      </c>
      <c r="E26" s="24">
        <v>281804.7</v>
      </c>
      <c r="F26" s="24">
        <f>68819.96+9770.4</f>
        <v>78590.36</v>
      </c>
      <c r="G26" s="24">
        <v>261777.52</v>
      </c>
      <c r="H26" s="24">
        <f>157258.6+58191.7</f>
        <v>215450.3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f t="shared" si="1"/>
        <v>837622.87999999989</v>
      </c>
    </row>
    <row r="27" spans="2:17" x14ac:dyDescent="0.25">
      <c r="B27" s="41" t="s">
        <v>17</v>
      </c>
      <c r="C27" s="25">
        <f>C28+C29+C30+C31+C32+C33+C34+C36</f>
        <v>15617678</v>
      </c>
      <c r="D27" s="25">
        <f>D28+D29+D30+D31+D32+D33+D34+D36</f>
        <v>15617678</v>
      </c>
      <c r="E27" s="25">
        <f t="shared" ref="E27:Q27" si="4">E28+E29+E30+E31+E32+E33+E34+E36</f>
        <v>715604</v>
      </c>
      <c r="F27" s="25">
        <f t="shared" si="4"/>
        <v>2060669.4</v>
      </c>
      <c r="G27" s="25">
        <f t="shared" si="4"/>
        <v>195375.4</v>
      </c>
      <c r="H27" s="25">
        <f t="shared" si="4"/>
        <v>1282432.8799999999</v>
      </c>
      <c r="I27" s="25">
        <f t="shared" si="4"/>
        <v>0</v>
      </c>
      <c r="J27" s="25">
        <f t="shared" si="4"/>
        <v>0</v>
      </c>
      <c r="K27" s="25">
        <f t="shared" si="4"/>
        <v>0</v>
      </c>
      <c r="L27" s="25">
        <f t="shared" si="4"/>
        <v>0</v>
      </c>
      <c r="M27" s="25">
        <f t="shared" si="4"/>
        <v>0</v>
      </c>
      <c r="N27" s="25">
        <f t="shared" si="4"/>
        <v>0</v>
      </c>
      <c r="O27" s="25">
        <f t="shared" si="4"/>
        <v>0</v>
      </c>
      <c r="P27" s="25">
        <f t="shared" si="4"/>
        <v>0</v>
      </c>
      <c r="Q27" s="25">
        <f t="shared" si="4"/>
        <v>4254081.68</v>
      </c>
    </row>
    <row r="28" spans="2:17" x14ac:dyDescent="0.25">
      <c r="B28" s="42" t="s">
        <v>18</v>
      </c>
      <c r="C28" s="24">
        <v>665000</v>
      </c>
      <c r="D28" s="24">
        <v>970000</v>
      </c>
      <c r="E28" s="24">
        <v>0</v>
      </c>
      <c r="F28" s="24">
        <f>10570+25623.2</f>
        <v>36193.199999999997</v>
      </c>
      <c r="G28" s="24">
        <v>11260</v>
      </c>
      <c r="H28" s="24">
        <v>97335.29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f t="shared" ref="Q28:Q35" si="5">SUM(E28:P28)</f>
        <v>144788.49</v>
      </c>
    </row>
    <row r="29" spans="2:17" x14ac:dyDescent="0.25">
      <c r="B29" s="42" t="s">
        <v>19</v>
      </c>
      <c r="C29" s="24">
        <v>448000</v>
      </c>
      <c r="D29" s="24">
        <v>448000</v>
      </c>
      <c r="E29" s="24">
        <v>0</v>
      </c>
      <c r="F29" s="24">
        <v>0</v>
      </c>
      <c r="G29" s="24">
        <v>184115.4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f t="shared" si="5"/>
        <v>184115.4</v>
      </c>
    </row>
    <row r="30" spans="2:17" x14ac:dyDescent="0.25">
      <c r="B30" s="42" t="s">
        <v>20</v>
      </c>
      <c r="C30" s="24">
        <v>675000</v>
      </c>
      <c r="D30" s="24">
        <v>595000</v>
      </c>
      <c r="E30" s="24">
        <v>0</v>
      </c>
      <c r="F30" s="24">
        <v>0</v>
      </c>
      <c r="G30" s="24">
        <v>0</v>
      </c>
      <c r="H30" s="24">
        <f>58882+159770.21</f>
        <v>218652.21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f t="shared" si="5"/>
        <v>218652.21</v>
      </c>
    </row>
    <row r="31" spans="2:17" x14ac:dyDescent="0.25">
      <c r="B31" s="42" t="s">
        <v>21</v>
      </c>
      <c r="C31" s="24">
        <v>10000</v>
      </c>
      <c r="D31" s="24">
        <v>10000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f t="shared" si="5"/>
        <v>0</v>
      </c>
    </row>
    <row r="32" spans="2:17" x14ac:dyDescent="0.25">
      <c r="B32" s="42" t="s">
        <v>22</v>
      </c>
      <c r="C32" s="24">
        <v>700000</v>
      </c>
      <c r="D32" s="24">
        <v>560000</v>
      </c>
      <c r="E32" s="24">
        <v>0</v>
      </c>
      <c r="F32" s="24">
        <v>0</v>
      </c>
      <c r="G32" s="24">
        <v>0</v>
      </c>
      <c r="H32" s="24">
        <v>198633.65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f t="shared" si="5"/>
        <v>198633.65</v>
      </c>
    </row>
    <row r="33" spans="2:17" ht="30" x14ac:dyDescent="0.25">
      <c r="B33" s="42" t="s">
        <v>23</v>
      </c>
      <c r="C33" s="24">
        <v>119678</v>
      </c>
      <c r="D33" s="24">
        <v>99678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f t="shared" si="5"/>
        <v>0</v>
      </c>
    </row>
    <row r="34" spans="2:17" ht="30" x14ac:dyDescent="0.25">
      <c r="B34" s="42" t="s">
        <v>24</v>
      </c>
      <c r="C34" s="24">
        <v>11100000</v>
      </c>
      <c r="D34" s="24">
        <v>11385000</v>
      </c>
      <c r="E34" s="24">
        <v>715604</v>
      </c>
      <c r="F34" s="24">
        <v>1907604</v>
      </c>
      <c r="G34" s="24">
        <v>0</v>
      </c>
      <c r="H34" s="24">
        <v>686600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f t="shared" si="5"/>
        <v>3309808</v>
      </c>
    </row>
    <row r="35" spans="2:17" ht="30" x14ac:dyDescent="0.25">
      <c r="B35" s="42" t="s">
        <v>25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f t="shared" si="5"/>
        <v>0</v>
      </c>
    </row>
    <row r="36" spans="2:17" x14ac:dyDescent="0.25">
      <c r="B36" s="42" t="s">
        <v>26</v>
      </c>
      <c r="C36" s="24">
        <v>1900000</v>
      </c>
      <c r="D36" s="24">
        <v>1550000</v>
      </c>
      <c r="E36" s="24">
        <v>0</v>
      </c>
      <c r="F36" s="24">
        <f>23610.9+93261.3</f>
        <v>116872.20000000001</v>
      </c>
      <c r="G36" s="24">
        <v>0</v>
      </c>
      <c r="H36" s="24">
        <f>61505.73+19706</f>
        <v>81211.73000000001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f>SUM(E36:P36)</f>
        <v>198083.93000000002</v>
      </c>
    </row>
    <row r="37" spans="2:17" x14ac:dyDescent="0.25">
      <c r="B37" s="41" t="s">
        <v>27</v>
      </c>
      <c r="C37" s="25">
        <f>C38</f>
        <v>50000</v>
      </c>
      <c r="D37" s="25">
        <f>D38</f>
        <v>50000</v>
      </c>
      <c r="E37" s="25">
        <f t="shared" ref="E37:Q37" si="6">E38</f>
        <v>0</v>
      </c>
      <c r="F37" s="25">
        <f t="shared" si="6"/>
        <v>0</v>
      </c>
      <c r="G37" s="25">
        <f t="shared" si="6"/>
        <v>24000</v>
      </c>
      <c r="H37" s="25">
        <f t="shared" si="6"/>
        <v>0</v>
      </c>
      <c r="I37" s="25">
        <f t="shared" si="6"/>
        <v>0</v>
      </c>
      <c r="J37" s="25">
        <f t="shared" si="6"/>
        <v>0</v>
      </c>
      <c r="K37" s="25">
        <f t="shared" si="6"/>
        <v>0</v>
      </c>
      <c r="L37" s="25">
        <f t="shared" si="6"/>
        <v>0</v>
      </c>
      <c r="M37" s="25">
        <f t="shared" si="6"/>
        <v>0</v>
      </c>
      <c r="N37" s="25">
        <f t="shared" si="6"/>
        <v>0</v>
      </c>
      <c r="O37" s="25">
        <f t="shared" si="6"/>
        <v>0</v>
      </c>
      <c r="P37" s="25">
        <f t="shared" si="6"/>
        <v>0</v>
      </c>
      <c r="Q37" s="25">
        <f t="shared" si="6"/>
        <v>24000</v>
      </c>
    </row>
    <row r="38" spans="2:17" ht="30" x14ac:dyDescent="0.25">
      <c r="B38" s="42" t="s">
        <v>28</v>
      </c>
      <c r="C38" s="24">
        <v>50000</v>
      </c>
      <c r="D38" s="24">
        <v>50000</v>
      </c>
      <c r="E38" s="24">
        <v>0</v>
      </c>
      <c r="F38" s="24">
        <v>0</v>
      </c>
      <c r="G38" s="24">
        <v>24000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f>SUM(E38:P38)</f>
        <v>24000</v>
      </c>
    </row>
    <row r="39" spans="2:17" ht="30" x14ac:dyDescent="0.25">
      <c r="B39" s="42" t="s">
        <v>29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</row>
    <row r="40" spans="2:17" ht="30" x14ac:dyDescent="0.25">
      <c r="B40" s="42" t="s">
        <v>30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</row>
    <row r="41" spans="2:17" ht="30" x14ac:dyDescent="0.25">
      <c r="B41" s="42" t="s">
        <v>31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2:17" ht="30" x14ac:dyDescent="0.25">
      <c r="B42" s="42" t="s">
        <v>32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2:17" x14ac:dyDescent="0.25">
      <c r="B43" s="42" t="s">
        <v>33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</row>
    <row r="44" spans="2:17" ht="30" x14ac:dyDescent="0.25">
      <c r="B44" s="42" t="s">
        <v>34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</row>
    <row r="45" spans="2:17" ht="30" x14ac:dyDescent="0.25">
      <c r="B45" s="42" t="s">
        <v>35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2:17" x14ac:dyDescent="0.25">
      <c r="B46" s="41" t="s">
        <v>36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ht="30" x14ac:dyDescent="0.25">
      <c r="B47" s="42" t="s">
        <v>37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</row>
    <row r="48" spans="2:17" ht="30" x14ac:dyDescent="0.25">
      <c r="B48" s="42" t="s">
        <v>38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</row>
    <row r="49" spans="2:17" ht="30" x14ac:dyDescent="0.25">
      <c r="B49" s="42" t="s">
        <v>39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</row>
    <row r="50" spans="2:17" ht="30" x14ac:dyDescent="0.25">
      <c r="B50" s="42" t="s">
        <v>40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</row>
    <row r="51" spans="2:17" ht="30" x14ac:dyDescent="0.25">
      <c r="B51" s="42" t="s">
        <v>41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</row>
    <row r="52" spans="2:17" ht="30" x14ac:dyDescent="0.25">
      <c r="B52" s="42" t="s">
        <v>42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</row>
    <row r="53" spans="2:17" x14ac:dyDescent="0.25">
      <c r="B53" s="41" t="s">
        <v>43</v>
      </c>
      <c r="C53" s="25">
        <f>C54+C57+C58</f>
        <v>3000000</v>
      </c>
      <c r="D53" s="25">
        <f>D54+D57+D58+D55</f>
        <v>3000000</v>
      </c>
      <c r="E53" s="25">
        <f>E54+E57+E58</f>
        <v>0</v>
      </c>
      <c r="F53" s="25">
        <f>F54+F57+F58</f>
        <v>0</v>
      </c>
      <c r="G53" s="25">
        <f>G54+G57+G58</f>
        <v>0</v>
      </c>
      <c r="H53" s="25">
        <f>H54+H57+H58</f>
        <v>0</v>
      </c>
      <c r="I53" s="25">
        <f>I55</f>
        <v>0</v>
      </c>
      <c r="J53" s="25">
        <f t="shared" ref="J53:O53" si="7">J54+J57+J58</f>
        <v>0</v>
      </c>
      <c r="K53" s="25">
        <f t="shared" si="7"/>
        <v>0</v>
      </c>
      <c r="L53" s="25">
        <f t="shared" si="7"/>
        <v>0</v>
      </c>
      <c r="M53" s="25">
        <f t="shared" si="7"/>
        <v>0</v>
      </c>
      <c r="N53" s="25">
        <f t="shared" si="7"/>
        <v>0</v>
      </c>
      <c r="O53" s="25">
        <f t="shared" si="7"/>
        <v>0</v>
      </c>
      <c r="P53" s="25">
        <f>P54+P57+P58+P55</f>
        <v>0</v>
      </c>
      <c r="Q53" s="25">
        <f>SUM(E53:P53)</f>
        <v>0</v>
      </c>
    </row>
    <row r="54" spans="2:17" x14ac:dyDescent="0.25">
      <c r="B54" s="42" t="s">
        <v>44</v>
      </c>
      <c r="C54" s="24">
        <v>1900000</v>
      </c>
      <c r="D54" s="24">
        <v>1900000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/>
      <c r="N54" s="24"/>
      <c r="O54" s="24"/>
      <c r="P54" s="24"/>
      <c r="Q54" s="24">
        <f>SUM(E54:P54)</f>
        <v>0</v>
      </c>
    </row>
    <row r="55" spans="2:17" ht="30" x14ac:dyDescent="0.25">
      <c r="B55" s="42" t="s">
        <v>45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f>SUM(E55:P55)</f>
        <v>0</v>
      </c>
    </row>
    <row r="56" spans="2:17" ht="30" x14ac:dyDescent="0.25">
      <c r="B56" s="42" t="s">
        <v>46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f t="shared" ref="Q56:Q58" si="8">SUM(E56:P56)</f>
        <v>0</v>
      </c>
    </row>
    <row r="57" spans="2:17" ht="30" x14ac:dyDescent="0.25">
      <c r="B57" s="42" t="s">
        <v>47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f t="shared" si="8"/>
        <v>0</v>
      </c>
    </row>
    <row r="58" spans="2:17" x14ac:dyDescent="0.25">
      <c r="B58" s="42" t="s">
        <v>48</v>
      </c>
      <c r="C58" s="24">
        <v>1100000</v>
      </c>
      <c r="D58" s="24">
        <v>1100000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/>
      <c r="Q58" s="24">
        <f t="shared" si="8"/>
        <v>0</v>
      </c>
    </row>
    <row r="59" spans="2:17" x14ac:dyDescent="0.25">
      <c r="B59" s="42" t="s">
        <v>49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</row>
    <row r="60" spans="2:17" x14ac:dyDescent="0.25">
      <c r="B60" s="42" t="s">
        <v>50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</row>
    <row r="61" spans="2:17" x14ac:dyDescent="0.25">
      <c r="B61" s="42" t="s">
        <v>51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</row>
    <row r="62" spans="2:17" ht="30" x14ac:dyDescent="0.25">
      <c r="B62" s="42" t="s">
        <v>52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</row>
    <row r="63" spans="2:17" x14ac:dyDescent="0.25">
      <c r="B63" s="41" t="s">
        <v>53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5">
      <c r="B64" s="42" t="s">
        <v>54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</row>
    <row r="65" spans="2:17" x14ac:dyDescent="0.25">
      <c r="B65" s="42" t="s">
        <v>55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</row>
    <row r="66" spans="2:17" x14ac:dyDescent="0.25">
      <c r="B66" s="42" t="s">
        <v>56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</row>
    <row r="67" spans="2:17" ht="30" x14ac:dyDescent="0.25">
      <c r="B67" s="42" t="s">
        <v>57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</row>
    <row r="68" spans="2:17" ht="30" x14ac:dyDescent="0.25">
      <c r="B68" s="41" t="s">
        <v>58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5">
      <c r="B69" s="42" t="s">
        <v>59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</row>
    <row r="70" spans="2:17" ht="30" x14ac:dyDescent="0.25">
      <c r="B70" s="42" t="s">
        <v>60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</row>
    <row r="71" spans="2:17" x14ac:dyDescent="0.25">
      <c r="B71" s="41" t="s">
        <v>61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5">
      <c r="B72" s="42" t="s">
        <v>62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</row>
    <row r="73" spans="2:17" x14ac:dyDescent="0.25">
      <c r="B73" s="42" t="s">
        <v>63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</row>
    <row r="74" spans="2:17" ht="30" x14ac:dyDescent="0.25">
      <c r="B74" s="42" t="s">
        <v>64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</row>
    <row r="75" spans="2:17" x14ac:dyDescent="0.25">
      <c r="B75" s="40" t="s">
        <v>67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5">
      <c r="B76" s="41" t="s">
        <v>68</v>
      </c>
      <c r="C76" s="25"/>
      <c r="D76" s="25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2:17" ht="30" x14ac:dyDescent="0.25">
      <c r="B77" s="42" t="s">
        <v>69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</row>
    <row r="78" spans="2:17" ht="30" x14ac:dyDescent="0.25">
      <c r="B78" s="42" t="s">
        <v>70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</row>
    <row r="79" spans="2:17" x14ac:dyDescent="0.25">
      <c r="B79" s="41" t="s">
        <v>71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5">
      <c r="B80" s="42" t="s">
        <v>72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</row>
    <row r="81" spans="2:17" x14ac:dyDescent="0.25">
      <c r="B81" s="42" t="s">
        <v>73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</row>
    <row r="82" spans="2:17" x14ac:dyDescent="0.25">
      <c r="B82" s="41" t="s">
        <v>74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</row>
    <row r="83" spans="2:17" x14ac:dyDescent="0.25">
      <c r="B83" s="42" t="s">
        <v>75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</row>
    <row r="84" spans="2:17" ht="24" customHeight="1" x14ac:dyDescent="0.25">
      <c r="B84" s="43" t="s">
        <v>65</v>
      </c>
      <c r="C84" s="28">
        <f>C53+C37+C27+C17+C11</f>
        <v>317021740</v>
      </c>
      <c r="D84" s="28">
        <f>D53+D37+D27+D17+D11</f>
        <v>317021740</v>
      </c>
      <c r="E84" s="28">
        <f t="shared" ref="E84:Q84" si="9">E53+E37+E27+E17+E11</f>
        <v>21633205.310000002</v>
      </c>
      <c r="F84" s="28">
        <f t="shared" si="9"/>
        <v>20824345.340000004</v>
      </c>
      <c r="G84" s="28">
        <f t="shared" si="9"/>
        <v>24539426.48</v>
      </c>
      <c r="H84" s="28">
        <f t="shared" si="9"/>
        <v>23461468.329999998</v>
      </c>
      <c r="I84" s="28">
        <f t="shared" si="9"/>
        <v>0</v>
      </c>
      <c r="J84" s="28">
        <f t="shared" si="9"/>
        <v>0</v>
      </c>
      <c r="K84" s="28">
        <f t="shared" si="9"/>
        <v>0</v>
      </c>
      <c r="L84" s="28">
        <f t="shared" si="9"/>
        <v>0</v>
      </c>
      <c r="M84" s="28">
        <f t="shared" si="9"/>
        <v>0</v>
      </c>
      <c r="N84" s="28">
        <f t="shared" si="9"/>
        <v>0</v>
      </c>
      <c r="O84" s="28">
        <f t="shared" si="9"/>
        <v>0</v>
      </c>
      <c r="P84" s="28">
        <f t="shared" si="9"/>
        <v>0</v>
      </c>
      <c r="Q84" s="28">
        <f t="shared" si="9"/>
        <v>90458445.460000008</v>
      </c>
    </row>
    <row r="85" spans="2:17" ht="29.25" x14ac:dyDescent="0.25">
      <c r="B85" s="50" t="s">
        <v>110</v>
      </c>
    </row>
    <row r="86" spans="2:17" ht="19.5" customHeight="1" x14ac:dyDescent="0.3">
      <c r="B86" s="44"/>
      <c r="C86" s="31" t="s">
        <v>102</v>
      </c>
      <c r="D86" s="30"/>
      <c r="E86" s="30"/>
      <c r="F86" s="30"/>
      <c r="G86" s="31" t="s">
        <v>103</v>
      </c>
      <c r="I86" s="32"/>
      <c r="K86" s="33"/>
      <c r="L86" s="30"/>
    </row>
    <row r="87" spans="2:17" ht="24" customHeight="1" x14ac:dyDescent="0.3">
      <c r="B87" s="45"/>
      <c r="C87" s="34" t="s">
        <v>104</v>
      </c>
      <c r="D87" s="32"/>
      <c r="E87" s="30"/>
      <c r="F87" s="30"/>
      <c r="G87" s="34" t="s">
        <v>104</v>
      </c>
      <c r="I87" s="34"/>
      <c r="J87" s="30"/>
      <c r="K87" s="30"/>
      <c r="L87" s="30"/>
    </row>
    <row r="88" spans="2:17" ht="18.75" x14ac:dyDescent="0.3">
      <c r="B88" s="46"/>
      <c r="C88" s="32" t="s">
        <v>105</v>
      </c>
      <c r="D88" s="32"/>
      <c r="E88" s="30"/>
      <c r="F88" s="30"/>
      <c r="G88" s="32" t="s">
        <v>106</v>
      </c>
      <c r="H88" s="36" t="s">
        <v>115</v>
      </c>
      <c r="I88" s="36"/>
      <c r="J88" s="36"/>
      <c r="K88" s="36"/>
      <c r="L88" s="30"/>
    </row>
    <row r="89" spans="2:17" s="47" customFormat="1" ht="15.75" x14ac:dyDescent="0.25">
      <c r="B89" s="48"/>
      <c r="C89" s="49" t="s">
        <v>116</v>
      </c>
      <c r="D89" s="49"/>
      <c r="G89" s="49" t="s">
        <v>117</v>
      </c>
      <c r="I89" s="49"/>
    </row>
    <row r="90" spans="2:17" ht="18.75" x14ac:dyDescent="0.3">
      <c r="E90" s="30"/>
      <c r="F90" s="30"/>
      <c r="G90" s="30"/>
      <c r="I90" s="30"/>
      <c r="J90" s="30"/>
      <c r="K90" s="30"/>
      <c r="L90" s="30"/>
    </row>
    <row r="91" spans="2:17" ht="18.75" x14ac:dyDescent="0.25">
      <c r="C91" s="32"/>
    </row>
  </sheetData>
  <mergeCells count="9">
    <mergeCell ref="E8:Q8"/>
    <mergeCell ref="B8:B9"/>
    <mergeCell ref="C8:C9"/>
    <mergeCell ref="D8:D9"/>
    <mergeCell ref="A1:O1"/>
    <mergeCell ref="A2:O2"/>
    <mergeCell ref="A3:O3"/>
    <mergeCell ref="A4:O4"/>
    <mergeCell ref="A5:O5"/>
  </mergeCells>
  <pageMargins left="0.11811023622047245" right="0.11811023622047245" top="0.39370078740157483" bottom="0.55118110236220474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abSelected="1" zoomScaleNormal="100" workbookViewId="0">
      <selection activeCell="E16" sqref="E16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4" width="13.5703125" customWidth="1"/>
    <col min="5" max="5" width="15.7109375" customWidth="1"/>
    <col min="6" max="6" width="11.140625" customWidth="1"/>
    <col min="7" max="7" width="9.7109375" customWidth="1"/>
    <col min="8" max="8" width="9" customWidth="1"/>
    <col min="9" max="9" width="10.7109375" customWidth="1"/>
    <col min="10" max="10" width="12.7109375" customWidth="1"/>
    <col min="11" max="11" width="9.42578125" customWidth="1"/>
    <col min="12" max="12" width="11.85546875" customWidth="1"/>
    <col min="13" max="13" width="14.140625" customWidth="1"/>
    <col min="14" max="14" width="14.5703125" customWidth="1"/>
  </cols>
  <sheetData>
    <row r="2" spans="1:15" ht="28.5" customHeight="1" x14ac:dyDescent="0.25">
      <c r="A2" s="70" t="s">
        <v>98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ht="21" customHeight="1" x14ac:dyDescent="0.25">
      <c r="A3" s="68" t="s">
        <v>101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x14ac:dyDescent="0.25">
      <c r="A4" s="58">
        <v>2024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ht="15.75" customHeight="1" x14ac:dyDescent="0.25">
      <c r="A5" s="53" t="s">
        <v>92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5" ht="15.75" customHeight="1" x14ac:dyDescent="0.25">
      <c r="A6" s="54" t="s">
        <v>77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14296930.99</v>
      </c>
      <c r="C10" s="25">
        <f t="shared" ref="C10:M10" si="0">C11+C12+C15</f>
        <v>14372212.879999999</v>
      </c>
      <c r="D10" s="25">
        <f t="shared" si="0"/>
        <v>15495728.01</v>
      </c>
      <c r="E10" s="25">
        <f>E11+E12+E15</f>
        <v>14490865.289999999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58655737.169999994</v>
      </c>
    </row>
    <row r="11" spans="1:15" ht="17.25" customHeight="1" x14ac:dyDescent="0.25">
      <c r="A11" s="5" t="s">
        <v>2</v>
      </c>
      <c r="B11" s="24">
        <v>12143507.34</v>
      </c>
      <c r="C11" s="24">
        <v>12203807.09</v>
      </c>
      <c r="D11" s="24">
        <f>11075307.09+660500+918000+745846.78</f>
        <v>13399653.869999999</v>
      </c>
      <c r="E11" s="24">
        <v>12344243.439999999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50091211.739999995</v>
      </c>
    </row>
    <row r="12" spans="1:15" ht="17.25" customHeight="1" x14ac:dyDescent="0.25">
      <c r="A12" s="5" t="s">
        <v>3</v>
      </c>
      <c r="B12" s="24">
        <v>333500</v>
      </c>
      <c r="C12" s="24">
        <v>333500</v>
      </c>
      <c r="D12" s="24">
        <v>333500</v>
      </c>
      <c r="E12" s="24">
        <v>333500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1334000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1819923.65</v>
      </c>
      <c r="C15" s="24">
        <v>1834905.79</v>
      </c>
      <c r="D15" s="24">
        <f>825129.52+833242.3+104202.32</f>
        <v>1762574.1400000001</v>
      </c>
      <c r="E15" s="24">
        <v>1813121.85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7230525.4299999997</v>
      </c>
    </row>
    <row r="16" spans="1:15" ht="17.25" customHeight="1" x14ac:dyDescent="0.25">
      <c r="A16" s="3" t="s">
        <v>7</v>
      </c>
      <c r="B16" s="25">
        <f>B17+B18+B19+B20+B21+B22+B23+B24+B25</f>
        <v>6620670.3200000003</v>
      </c>
      <c r="C16" s="25">
        <f>C17+C18+C19+C20+C21+C22+C23+C24+C25</f>
        <v>4391463.0600000005</v>
      </c>
      <c r="D16" s="25">
        <f>D17+D18+D19+D20+D21+D22+D23+D24+D25</f>
        <v>8824323.0700000003</v>
      </c>
      <c r="E16" s="25">
        <f>SUM(E17:E25)</f>
        <v>7688170.1600000001</v>
      </c>
      <c r="F16" s="25">
        <f t="shared" ref="F16:K16" si="1">F17+F18+F19+F20+F21+F22+F23+F24</f>
        <v>0</v>
      </c>
      <c r="G16" s="25">
        <f t="shared" si="1"/>
        <v>0</v>
      </c>
      <c r="H16" s="25">
        <f>H17+H18+H19+H20+H21+H22+H23+H24+H25</f>
        <v>0</v>
      </c>
      <c r="I16" s="25">
        <f>I17+I18+I19+I20+I21+I22+I23+I24+I25</f>
        <v>0</v>
      </c>
      <c r="J16" s="25">
        <f t="shared" si="1"/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27524626.609999992</v>
      </c>
    </row>
    <row r="17" spans="1:14" ht="17.25" customHeight="1" x14ac:dyDescent="0.25">
      <c r="A17" s="5" t="s">
        <v>8</v>
      </c>
      <c r="B17" s="24">
        <v>2305139.54</v>
      </c>
      <c r="C17" s="24">
        <v>2195976.98</v>
      </c>
      <c r="D17" s="24">
        <f>531894.62+219894.11+999645.05+574030.01</f>
        <v>2325463.79</v>
      </c>
      <c r="E17" s="24">
        <v>2291313.2000000002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9117893.5099999998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 t="s">
        <v>118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2686800</v>
      </c>
      <c r="C19" s="24">
        <v>1180200</v>
      </c>
      <c r="D19" s="24">
        <v>2909800</v>
      </c>
      <c r="E19" s="24">
        <v>1077200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7854000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13000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13000</v>
      </c>
    </row>
    <row r="21" spans="1:14" ht="17.25" customHeight="1" x14ac:dyDescent="0.25">
      <c r="A21" s="5" t="s">
        <v>12</v>
      </c>
      <c r="B21" s="24">
        <v>0</v>
      </c>
      <c r="C21" s="24">
        <v>217739.5</v>
      </c>
      <c r="D21" s="24">
        <f>2205964.26+76517.1</f>
        <v>2282481.36</v>
      </c>
      <c r="E21" s="24">
        <v>1670527.88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4170748.7399999998</v>
      </c>
    </row>
    <row r="22" spans="1:14" ht="17.25" customHeight="1" x14ac:dyDescent="0.25">
      <c r="A22" s="5" t="s">
        <v>13</v>
      </c>
      <c r="B22" s="24">
        <v>1346926.08</v>
      </c>
      <c r="C22" s="24">
        <v>588468.36</v>
      </c>
      <c r="D22" s="24">
        <v>978800.4</v>
      </c>
      <c r="E22" s="24">
        <v>1403825.58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4318020.42</v>
      </c>
    </row>
    <row r="23" spans="1:14" ht="27" customHeight="1" x14ac:dyDescent="0.25">
      <c r="A23" s="29" t="s">
        <v>14</v>
      </c>
      <c r="B23" s="24">
        <v>0</v>
      </c>
      <c r="C23" s="24">
        <v>103701.86</v>
      </c>
      <c r="D23" s="24">
        <v>0</v>
      </c>
      <c r="E23" s="24">
        <v>308853.2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412555.06</v>
      </c>
    </row>
    <row r="24" spans="1:14" ht="17.25" customHeight="1" x14ac:dyDescent="0.25">
      <c r="A24" s="5" t="s">
        <v>15</v>
      </c>
      <c r="B24" s="24">
        <v>0</v>
      </c>
      <c r="C24" s="24">
        <v>26786</v>
      </c>
      <c r="D24" s="24">
        <f>66000</f>
        <v>66000</v>
      </c>
      <c r="E24" s="24">
        <v>708000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800786</v>
      </c>
    </row>
    <row r="25" spans="1:14" ht="17.25" customHeight="1" x14ac:dyDescent="0.25">
      <c r="A25" s="5" t="s">
        <v>16</v>
      </c>
      <c r="B25" s="24">
        <v>281804.7</v>
      </c>
      <c r="C25" s="24">
        <v>78590.36</v>
      </c>
      <c r="D25" s="24">
        <f>261777.52</f>
        <v>261777.52</v>
      </c>
      <c r="E25" s="24">
        <v>215450.3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837622.87999999989</v>
      </c>
    </row>
    <row r="26" spans="1:14" ht="17.25" customHeight="1" x14ac:dyDescent="0.25">
      <c r="A26" s="3" t="s">
        <v>17</v>
      </c>
      <c r="B26" s="25">
        <f>B27+B28+B29+B30+B31+B32+B33</f>
        <v>715604</v>
      </c>
      <c r="C26" s="25">
        <f>C27+C28+C29+C30+C31+C32+C33+C35</f>
        <v>2060669.4</v>
      </c>
      <c r="D26" s="25">
        <f>D27+D28+D29+D30+D31+D32</f>
        <v>195375.4</v>
      </c>
      <c r="E26" s="25">
        <f>E27+E28+E29+E30+E31+E32+E35+E33</f>
        <v>1282432.8799999999</v>
      </c>
      <c r="F26" s="25">
        <f>F27+F28+F29+F30+F31+F32</f>
        <v>0</v>
      </c>
      <c r="G26" s="25">
        <f>G27+G28+G29+G30+G31+G32</f>
        <v>0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4254081.68</v>
      </c>
    </row>
    <row r="27" spans="1:14" ht="17.25" customHeight="1" x14ac:dyDescent="0.25">
      <c r="A27" s="5" t="s">
        <v>18</v>
      </c>
      <c r="B27" s="24">
        <v>0</v>
      </c>
      <c r="C27" s="24">
        <v>36193.199999999997</v>
      </c>
      <c r="D27" s="24">
        <f>11260</f>
        <v>11260</v>
      </c>
      <c r="E27" s="24">
        <v>97335.29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3">SUM(B27:M27)</f>
        <v>144788.49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184115.4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184115.4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218652.21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218652.21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198633.65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198633.65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715604</v>
      </c>
      <c r="C33" s="24">
        <v>1907604</v>
      </c>
      <c r="D33" s="24">
        <v>0</v>
      </c>
      <c r="E33" s="24">
        <v>686600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3309808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116872.2</v>
      </c>
      <c r="D35" s="24">
        <v>0</v>
      </c>
      <c r="E35" s="24">
        <v>81211.73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198083.93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24000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3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</f>
        <v>0</v>
      </c>
      <c r="G52" s="25">
        <f>G54</f>
        <v>0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0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0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21633205.310000002</v>
      </c>
      <c r="C83" s="26">
        <f>C52+C16+C10+C26</f>
        <v>20824345.339999996</v>
      </c>
      <c r="D83" s="26">
        <f>D52+D16+D10+D26+D36</f>
        <v>24539426.479999997</v>
      </c>
      <c r="E83" s="26">
        <f>E52+E16+E10+E26</f>
        <v>23461468.329999998</v>
      </c>
      <c r="F83" s="26">
        <f>F52+F16+F10</f>
        <v>0</v>
      </c>
      <c r="G83" s="26">
        <f>G52+G16+G10</f>
        <v>0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90458445.459999979</v>
      </c>
    </row>
    <row r="84" spans="1:14" x14ac:dyDescent="0.25">
      <c r="A84" s="51" t="s">
        <v>110</v>
      </c>
    </row>
    <row r="85" spans="1:14" x14ac:dyDescent="0.25">
      <c r="A85" s="37"/>
    </row>
    <row r="86" spans="1:14" ht="18.75" x14ac:dyDescent="0.3">
      <c r="A86" s="31" t="s">
        <v>102</v>
      </c>
      <c r="B86" s="30"/>
      <c r="C86" s="30"/>
      <c r="D86" s="30"/>
      <c r="E86" s="31" t="s">
        <v>103</v>
      </c>
      <c r="G86" s="32"/>
      <c r="I86" s="33"/>
      <c r="J86" s="30"/>
    </row>
    <row r="87" spans="1:14" ht="47.25" customHeight="1" x14ac:dyDescent="0.3">
      <c r="A87" s="34" t="s">
        <v>104</v>
      </c>
      <c r="B87" s="32"/>
      <c r="C87" s="30"/>
      <c r="D87" s="30"/>
      <c r="E87" s="34" t="s">
        <v>104</v>
      </c>
      <c r="G87" s="34"/>
      <c r="H87" s="30"/>
      <c r="I87" s="30"/>
      <c r="J87" s="30"/>
    </row>
    <row r="88" spans="1:14" ht="18.75" x14ac:dyDescent="0.3">
      <c r="A88" s="32" t="s">
        <v>105</v>
      </c>
      <c r="B88" s="32"/>
      <c r="C88" s="30"/>
      <c r="D88" s="30"/>
      <c r="E88" s="32" t="s">
        <v>108</v>
      </c>
      <c r="F88" s="36"/>
      <c r="G88" s="36"/>
      <c r="H88" s="36"/>
      <c r="I88" s="36"/>
      <c r="J88" s="30"/>
    </row>
    <row r="89" spans="1:14" ht="18.75" x14ac:dyDescent="0.3">
      <c r="A89" s="31" t="s">
        <v>107</v>
      </c>
      <c r="B89" s="31"/>
      <c r="C89" s="30"/>
      <c r="D89" s="30"/>
      <c r="E89" s="31" t="s">
        <v>109</v>
      </c>
      <c r="G89" s="31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" right="0" top="0.55118110236220474" bottom="0.59055118110236227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9" ma:contentTypeDescription="Crear nuevo documento." ma:contentTypeScope="" ma:versionID="23efe60e80344c3fd35a48629cdd456f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c25a0ec9c74951ee83e3fc4768d9a137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6A3C7F-70F0-437E-932E-A93A10951F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33202-DA66-405A-ADF2-CE3090E4CCD9}">
  <ds:schemaRefs>
    <ds:schemaRef ds:uri="http://schemas.microsoft.com/office/infopath/2007/PartnerControls"/>
    <ds:schemaRef ds:uri="http://purl.org/dc/elements/1.1/"/>
    <ds:schemaRef ds:uri="da7de7a0-710e-4fef-a6cd-19f38e5ab606"/>
    <ds:schemaRef ds:uri="http://schemas.microsoft.com/office/2006/metadata/properties"/>
    <ds:schemaRef ds:uri="d5c4e3f9-af64-4719-90be-160b640e81f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9B305D-9AB9-497D-ABBF-1A6F5D658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2024-05-07T12:51:44Z</cp:lastPrinted>
  <dcterms:created xsi:type="dcterms:W3CDTF">2021-07-29T18:58:50Z</dcterms:created>
  <dcterms:modified xsi:type="dcterms:W3CDTF">2024-05-07T15:15:35Z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