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5.xml" ContentType="application/vnd.openxmlformats-officedocument.spreadsheetml.comments+xml"/>
  <Override PartName="/xl/drawings/drawing2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https://slubengob-my.sharepoint.com/personal/ninoa_siuben_gob_do/Documents/Trabajos de la Div. Formulación y seguimiento PPP/POA 2024/POA 2024 por área listos/"/>
    </mc:Choice>
  </mc:AlternateContent>
  <xr:revisionPtr revIDLastSave="3817" documentId="8_{D911A4D3-9DF3-4D91-B15F-C90D271C3EB1}" xr6:coauthVersionLast="47" xr6:coauthVersionMax="47" xr10:uidLastSave="{3190E341-3DED-487C-B632-4F7016410896}"/>
  <bookViews>
    <workbookView xWindow="-120" yWindow="-120" windowWidth="29040" windowHeight="15840" firstSheet="7" activeTab="11" xr2:uid="{CBB9C4FF-366E-4388-B3F4-A726DFD9C9C1}"/>
  </bookViews>
  <sheets>
    <sheet name="Introducción" sheetId="25" r:id="rId1"/>
    <sheet name="Marco Estratégico" sheetId="26" r:id="rId2"/>
    <sheet name="POA Análisis " sheetId="21" r:id="rId3"/>
    <sheet name="Presupuesto  Análisis" sheetId="22" r:id="rId4"/>
    <sheet name="POA Operaciones" sheetId="1" r:id="rId5"/>
    <sheet name="Presupuesto Operaciones" sheetId="2" r:id="rId6"/>
    <sheet name=" POA Revisión y Control Datos" sheetId="3" r:id="rId7"/>
    <sheet name="Presupuesto Revisión y Control " sheetId="4" r:id="rId8"/>
    <sheet name="POA Cartografía " sheetId="43" r:id="rId9"/>
    <sheet name="Presupuesto Cartografía " sheetId="44" r:id="rId10"/>
    <sheet name="POA Adm. y Financiero " sheetId="46" r:id="rId11"/>
    <sheet name="Presupuesto Adm. y Financie " sheetId="47" r:id="rId12"/>
    <sheet name="POA Calidad en la Gestión" sheetId="34" r:id="rId13"/>
    <sheet name="Presupuesto Calidad en la Gest" sheetId="35" r:id="rId14"/>
    <sheet name="POA Comunicaciones " sheetId="38" r:id="rId15"/>
    <sheet name="Presupuesto Comunicaciones " sheetId="39" r:id="rId16"/>
    <sheet name="POA Recursos Humanos" sheetId="9" r:id="rId17"/>
    <sheet name="Presupuesto Recursos Humanos" sheetId="10" r:id="rId18"/>
    <sheet name="POA Juridico" sheetId="41" r:id="rId19"/>
    <sheet name="Presupuesto Juridico" sheetId="42" r:id="rId20"/>
    <sheet name="POA Planificación y Desarro " sheetId="23" r:id="rId21"/>
    <sheet name="Presupuesto Planificación y D" sheetId="24" r:id="rId22"/>
    <sheet name="POA TIC" sheetId="48" r:id="rId23"/>
    <sheet name="Presupuesto TIC " sheetId="50" r:id="rId24"/>
    <sheet name="Presupuesto por Programatica" sheetId="28" r:id="rId25"/>
    <sheet name="Presupuesto por Objeto de Gasto" sheetId="27" r:id="rId26"/>
    <sheet name="Presupuesto D. por Cuenta" sheetId="29" r:id="rId27"/>
    <sheet name="P. por Fuente de Financiamiento" sheetId="30" state="hidden" r:id="rId28"/>
    <sheet name="Presuesto POA aprobado" sheetId="33" r:id="rId29"/>
    <sheet name="Presupuesto por fuente de finan" sheetId="40" r:id="rId30"/>
  </sheets>
  <externalReferences>
    <externalReference r:id="rId31"/>
    <externalReference r:id="rId32"/>
    <externalReference r:id="rId33"/>
    <externalReference r:id="rId34"/>
  </externalReferences>
  <definedNames>
    <definedName name="_xlnm._FilterDatabase" localSheetId="11" hidden="1">'Presupuesto Adm. y Financie '!$A$21:$V$64</definedName>
    <definedName name="_xlnm._FilterDatabase" localSheetId="15" hidden="1">'Presupuesto Comunicaciones '!$A$22:$V$77</definedName>
    <definedName name="_xlnm._FilterDatabase" localSheetId="17" hidden="1">'Presupuesto Recursos Humanos'!$A$22:$V$60</definedName>
    <definedName name="_xlnm._FilterDatabase" localSheetId="23" hidden="1">'Presupuesto TIC '!$A$24:$V$88</definedName>
    <definedName name="_xlnm.Print_Titles" localSheetId="10">'POA Adm. y Financiero '!$1:$19</definedName>
    <definedName name="_xlnm.Print_Titles" localSheetId="2">'POA Análisis '!$1:$17</definedName>
    <definedName name="_xlnm.Print_Titles" localSheetId="12">'POA Calidad en la Gestión'!$1:$19</definedName>
    <definedName name="_xlnm.Print_Titles" localSheetId="8">'POA Cartografía '!$1:$18</definedName>
    <definedName name="_xlnm.Print_Titles" localSheetId="14">'POA Comunicaciones '!$1:$19</definedName>
    <definedName name="_xlnm.Print_Titles" localSheetId="4">'POA Operaciones'!$1:$16</definedName>
    <definedName name="_xlnm.Print_Titles" localSheetId="20">'POA Planificación y Desarro '!$1:$20</definedName>
    <definedName name="_xlnm.Print_Titles" localSheetId="16">'POA Recursos Humanos'!$1:$16</definedName>
    <definedName name="_xlnm.Print_Titles" localSheetId="22">'POA TIC'!$1:$20</definedName>
    <definedName name="_xlnm.Print_Titles" localSheetId="11">'Presupuesto Adm. y Financie '!$1:$22</definedName>
    <definedName name="_xlnm.Print_Titles" localSheetId="9">'Presupuesto Cartografía '!$1:$23</definedName>
    <definedName name="_xlnm.Print_Titles" localSheetId="15">'Presupuesto Comunicaciones '!$1:$23</definedName>
    <definedName name="_xlnm.Print_Titles" localSheetId="17">'Presupuesto Recursos Humanos'!$1:$23</definedName>
    <definedName name="_xlnm.Print_Titles" localSheetId="23">'Presupuesto TIC '!$1:$25</definedName>
  </definedNames>
  <calcPr calcId="191029"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40" l="1"/>
  <c r="F31" i="40" s="1"/>
  <c r="G28" i="40" s="1"/>
  <c r="E13" i="40" a="1"/>
  <c r="E13" i="40" s="1"/>
  <c r="F13" i="40" s="1"/>
  <c r="J13" i="40" s="1"/>
  <c r="D14" i="40" a="1"/>
  <c r="D14" i="40" s="1"/>
  <c r="E14" i="40" a="1"/>
  <c r="E14" i="40" s="1"/>
  <c r="D15" i="40" a="1"/>
  <c r="D15" i="40" s="1"/>
  <c r="E15" i="40" a="1"/>
  <c r="E15" i="40" s="1"/>
  <c r="D16" i="40" a="1"/>
  <c r="D16" i="40" s="1"/>
  <c r="E16" i="40" a="1"/>
  <c r="E16" i="40" s="1"/>
  <c r="D17" i="40" a="1"/>
  <c r="D17" i="40" s="1"/>
  <c r="E17" i="40" a="1"/>
  <c r="E17" i="40" s="1"/>
  <c r="D18" i="40" a="1"/>
  <c r="D18" i="40" s="1"/>
  <c r="F18" i="40" s="1"/>
  <c r="J18" i="40" s="1"/>
  <c r="E18" i="40" a="1"/>
  <c r="E18" i="40" s="1"/>
  <c r="D21" i="40" a="1"/>
  <c r="D21" i="40" s="1"/>
  <c r="F21" i="40" s="1"/>
  <c r="E21" i="40" a="1"/>
  <c r="E21" i="40" s="1"/>
  <c r="D22" i="40" a="1"/>
  <c r="D22" i="40" s="1"/>
  <c r="E22" i="40" a="1"/>
  <c r="E22" i="40" s="1"/>
  <c r="G22" i="40" a="1"/>
  <c r="G22" i="40" s="1"/>
  <c r="L87" i="50"/>
  <c r="U87" i="50" s="1"/>
  <c r="K86" i="50"/>
  <c r="U86" i="50" s="1"/>
  <c r="L85" i="50"/>
  <c r="U85" i="50" s="1"/>
  <c r="H87" i="50"/>
  <c r="H86" i="50"/>
  <c r="H85" i="50"/>
  <c r="H84" i="50"/>
  <c r="H21" i="40" a="1"/>
  <c r="H21" i="40" s="1"/>
  <c r="G21" i="40" a="1"/>
  <c r="G21" i="40" s="1"/>
  <c r="U35" i="2"/>
  <c r="H67" i="50"/>
  <c r="R88" i="50"/>
  <c r="S88" i="50"/>
  <c r="I88" i="50"/>
  <c r="H82" i="50"/>
  <c r="K82" i="50" s="1"/>
  <c r="H81" i="50"/>
  <c r="H29" i="50"/>
  <c r="H80" i="50"/>
  <c r="H75" i="50"/>
  <c r="H74" i="50"/>
  <c r="H73" i="50"/>
  <c r="T73" i="50" s="1"/>
  <c r="H72" i="50"/>
  <c r="K72" i="50" s="1"/>
  <c r="H71" i="50"/>
  <c r="H70" i="50"/>
  <c r="H69" i="50"/>
  <c r="H68" i="50"/>
  <c r="H56" i="50"/>
  <c r="N55" i="50"/>
  <c r="H53" i="50"/>
  <c r="H52" i="50"/>
  <c r="H51" i="50"/>
  <c r="H50" i="50"/>
  <c r="H49" i="50"/>
  <c r="H48" i="50"/>
  <c r="H47" i="50"/>
  <c r="H46" i="50"/>
  <c r="H45" i="50"/>
  <c r="H44" i="50"/>
  <c r="H43" i="50"/>
  <c r="H42" i="50"/>
  <c r="H28" i="50"/>
  <c r="H27" i="50"/>
  <c r="F15" i="40" l="1"/>
  <c r="J15" i="40" s="1"/>
  <c r="F22" i="40"/>
  <c r="G27" i="40"/>
  <c r="G30" i="40"/>
  <c r="G29" i="40"/>
  <c r="F17" i="40"/>
  <c r="F16" i="40"/>
  <c r="J16" i="40" s="1"/>
  <c r="F14" i="40"/>
  <c r="J14" i="40" s="1"/>
  <c r="N26" i="50" l="1"/>
  <c r="K84" i="50"/>
  <c r="U84" i="50" s="1"/>
  <c r="H83" i="50"/>
  <c r="H79" i="50"/>
  <c r="H78" i="50"/>
  <c r="H77" i="50"/>
  <c r="S42" i="48" l="1"/>
  <c r="P83" i="50"/>
  <c r="O83" i="50"/>
  <c r="N83" i="50"/>
  <c r="M83" i="50"/>
  <c r="L83" i="50"/>
  <c r="K83" i="50"/>
  <c r="J83" i="50"/>
  <c r="U82" i="50"/>
  <c r="S40" i="48" s="1"/>
  <c r="P81" i="50"/>
  <c r="O81" i="50"/>
  <c r="N81" i="50"/>
  <c r="M81" i="50"/>
  <c r="L81" i="50"/>
  <c r="K80" i="50"/>
  <c r="U80" i="50" s="1"/>
  <c r="S37" i="48" s="1"/>
  <c r="B80" i="50"/>
  <c r="A80" i="50"/>
  <c r="K79" i="50"/>
  <c r="U79" i="50" s="1"/>
  <c r="S36" i="48" s="1"/>
  <c r="B79" i="50"/>
  <c r="A79" i="50"/>
  <c r="K78" i="50"/>
  <c r="U78" i="50" s="1"/>
  <c r="S35" i="48" s="1"/>
  <c r="B78" i="50"/>
  <c r="A78" i="50"/>
  <c r="K77" i="50"/>
  <c r="U77" i="50" s="1"/>
  <c r="S34" i="48" s="1"/>
  <c r="B77" i="50"/>
  <c r="A77" i="50"/>
  <c r="H76" i="50"/>
  <c r="N76" i="50" s="1"/>
  <c r="U76" i="50" s="1"/>
  <c r="N75" i="50"/>
  <c r="U75" i="50" s="1"/>
  <c r="N74" i="50"/>
  <c r="U74" i="50" s="1"/>
  <c r="U73" i="50"/>
  <c r="U72" i="50"/>
  <c r="N71" i="50"/>
  <c r="U71" i="50" s="1"/>
  <c r="T70" i="50"/>
  <c r="N69" i="50"/>
  <c r="U69" i="50" s="1"/>
  <c r="P68" i="50"/>
  <c r="L67" i="50"/>
  <c r="J66" i="50"/>
  <c r="O65" i="50"/>
  <c r="U65" i="50" s="1"/>
  <c r="K64" i="50"/>
  <c r="U64" i="50" s="1"/>
  <c r="Q63" i="50"/>
  <c r="U63" i="50" s="1"/>
  <c r="Q62" i="50"/>
  <c r="U62" i="50" s="1"/>
  <c r="Q61" i="50"/>
  <c r="U61" i="50" s="1"/>
  <c r="Q60" i="50"/>
  <c r="U60" i="50" s="1"/>
  <c r="Q59" i="50"/>
  <c r="U59" i="50" s="1"/>
  <c r="Q58" i="50"/>
  <c r="H57" i="50"/>
  <c r="N57" i="50" s="1"/>
  <c r="U57" i="50" s="1"/>
  <c r="K56" i="50"/>
  <c r="U56" i="50" s="1"/>
  <c r="U55" i="50"/>
  <c r="N54" i="50"/>
  <c r="U54" i="50" s="1"/>
  <c r="N53" i="50"/>
  <c r="U53" i="50" s="1"/>
  <c r="N52" i="50"/>
  <c r="U52" i="50" s="1"/>
  <c r="N51" i="50"/>
  <c r="U51" i="50" s="1"/>
  <c r="N50" i="50"/>
  <c r="U50" i="50" s="1"/>
  <c r="N49" i="50"/>
  <c r="U49" i="50" s="1"/>
  <c r="N48" i="50"/>
  <c r="U48" i="50" s="1"/>
  <c r="N47" i="50"/>
  <c r="U47" i="50" s="1"/>
  <c r="N46" i="50"/>
  <c r="U46" i="50" s="1"/>
  <c r="N45" i="50"/>
  <c r="U45" i="50" s="1"/>
  <c r="N44" i="50"/>
  <c r="U44" i="50" s="1"/>
  <c r="N43" i="50"/>
  <c r="U43" i="50" s="1"/>
  <c r="U42" i="50"/>
  <c r="K41" i="50"/>
  <c r="U41" i="50" s="1"/>
  <c r="K40" i="50"/>
  <c r="U40" i="50" s="1"/>
  <c r="K39" i="50"/>
  <c r="U39" i="50" s="1"/>
  <c r="K38" i="50"/>
  <c r="U38" i="50" s="1"/>
  <c r="K37" i="50"/>
  <c r="U37" i="50" s="1"/>
  <c r="K36" i="50"/>
  <c r="U36" i="50" s="1"/>
  <c r="K35" i="50"/>
  <c r="U35" i="50" s="1"/>
  <c r="K34" i="50"/>
  <c r="U34" i="50" s="1"/>
  <c r="K33" i="50"/>
  <c r="U33" i="50" s="1"/>
  <c r="K32" i="50"/>
  <c r="U32" i="50" s="1"/>
  <c r="U31" i="50"/>
  <c r="U30" i="50"/>
  <c r="N29" i="50"/>
  <c r="U29" i="50" s="1"/>
  <c r="S24" i="48" s="1"/>
  <c r="O28" i="50"/>
  <c r="B28" i="50"/>
  <c r="A28" i="50"/>
  <c r="K27" i="50"/>
  <c r="B27" i="50"/>
  <c r="A27" i="50"/>
  <c r="U26" i="50"/>
  <c r="M88" i="50" l="1"/>
  <c r="S21" i="48"/>
  <c r="I22" i="40" a="1"/>
  <c r="I22" i="40" s="1"/>
  <c r="H22" i="40" a="1"/>
  <c r="H22" i="40" s="1"/>
  <c r="U70" i="50"/>
  <c r="T88" i="50"/>
  <c r="N88" i="50"/>
  <c r="U27" i="50"/>
  <c r="S22" i="48" s="1"/>
  <c r="K88" i="50"/>
  <c r="U58" i="50"/>
  <c r="Q88" i="50"/>
  <c r="U28" i="50"/>
  <c r="S23" i="48" s="1"/>
  <c r="O88" i="50"/>
  <c r="U68" i="50"/>
  <c r="P88" i="50"/>
  <c r="U66" i="50"/>
  <c r="J88" i="50"/>
  <c r="U67" i="50"/>
  <c r="L88" i="50"/>
  <c r="U81" i="50"/>
  <c r="S39" i="48" s="1"/>
  <c r="U83" i="50"/>
  <c r="S41" i="48" s="1"/>
  <c r="J22" i="40" l="1"/>
  <c r="U88" i="50"/>
  <c r="S27" i="48"/>
  <c r="K23" i="47" l="1"/>
  <c r="N23" i="47"/>
  <c r="Q23" i="47"/>
  <c r="Q64" i="47" s="1"/>
  <c r="T23" i="47"/>
  <c r="L24" i="47"/>
  <c r="U24" i="47" s="1"/>
  <c r="T25" i="47"/>
  <c r="U25" i="47" s="1"/>
  <c r="U26" i="47"/>
  <c r="U27" i="47"/>
  <c r="U28" i="47"/>
  <c r="U29" i="47"/>
  <c r="U30" i="47"/>
  <c r="U31" i="47"/>
  <c r="U32" i="47"/>
  <c r="U33" i="47"/>
  <c r="U34" i="47"/>
  <c r="U35" i="47"/>
  <c r="U36" i="47"/>
  <c r="U37" i="47"/>
  <c r="U38" i="47"/>
  <c r="U39" i="47"/>
  <c r="M40" i="47"/>
  <c r="N40" i="47" s="1"/>
  <c r="U42" i="47"/>
  <c r="U43" i="47"/>
  <c r="U44" i="47"/>
  <c r="U45" i="47"/>
  <c r="U46" i="47"/>
  <c r="O47" i="47"/>
  <c r="U47" i="47" s="1"/>
  <c r="N48" i="47"/>
  <c r="T48" i="47"/>
  <c r="N49" i="47"/>
  <c r="U49" i="47" s="1"/>
  <c r="S25" i="46" s="1"/>
  <c r="T49" i="47"/>
  <c r="U50" i="47"/>
  <c r="U51" i="47"/>
  <c r="S26" i="46" s="1"/>
  <c r="U52" i="47"/>
  <c r="U53" i="47"/>
  <c r="U54" i="47"/>
  <c r="U55" i="47"/>
  <c r="U56" i="47"/>
  <c r="U57" i="47"/>
  <c r="L58" i="47"/>
  <c r="M58" i="47" s="1"/>
  <c r="U59" i="47"/>
  <c r="K60" i="47"/>
  <c r="K64" i="47" s="1"/>
  <c r="U61" i="47"/>
  <c r="U62" i="47"/>
  <c r="U63" i="47"/>
  <c r="I64" i="47"/>
  <c r="J64" i="47"/>
  <c r="P64" i="47"/>
  <c r="R64" i="47"/>
  <c r="S64" i="47"/>
  <c r="D12" i="40" l="1" a="1"/>
  <c r="D12" i="40" s="1"/>
  <c r="E12" i="40" a="1"/>
  <c r="E12" i="40" s="1"/>
  <c r="I19" i="40" a="1"/>
  <c r="I19" i="40" s="1"/>
  <c r="G19" i="40" a="1"/>
  <c r="G19" i="40" s="1"/>
  <c r="I17" i="40" a="1"/>
  <c r="I17" i="40" s="1"/>
  <c r="I21" i="40" a="1"/>
  <c r="I21" i="40" s="1"/>
  <c r="J21" i="40" s="1"/>
  <c r="M64" i="47"/>
  <c r="T64" i="47"/>
  <c r="U48" i="47"/>
  <c r="S23" i="46" s="1"/>
  <c r="U60" i="47"/>
  <c r="U40" i="47"/>
  <c r="G17" i="40" s="1" a="1"/>
  <c r="G17" i="40" s="1"/>
  <c r="N64" i="47"/>
  <c r="O64" i="47"/>
  <c r="L64" i="47"/>
  <c r="U23" i="47"/>
  <c r="U58" i="47"/>
  <c r="H19" i="40" l="1" a="1"/>
  <c r="H19" i="40" s="1"/>
  <c r="F12" i="40"/>
  <c r="H17" i="40" a="1"/>
  <c r="H17" i="40" s="1"/>
  <c r="J17" i="40" s="1"/>
  <c r="S43" i="48"/>
  <c r="S30" i="46"/>
  <c r="S20" i="46"/>
  <c r="U64" i="47"/>
  <c r="U25" i="42"/>
  <c r="S31" i="41" s="1"/>
  <c r="B24" i="42"/>
  <c r="B25" i="42"/>
  <c r="A24" i="42"/>
  <c r="A25" i="42"/>
  <c r="B23" i="42"/>
  <c r="A23" i="42"/>
  <c r="T25" i="42"/>
  <c r="S26" i="42"/>
  <c r="R26" i="42"/>
  <c r="Q26" i="42"/>
  <c r="P26" i="42"/>
  <c r="O26" i="42"/>
  <c r="N26" i="42"/>
  <c r="M26" i="42"/>
  <c r="L26" i="42"/>
  <c r="K26" i="42"/>
  <c r="J26" i="42"/>
  <c r="I26" i="42"/>
  <c r="U24" i="44"/>
  <c r="E25" i="44"/>
  <c r="L25" i="44"/>
  <c r="E26" i="44"/>
  <c r="L26" i="44"/>
  <c r="U26" i="44"/>
  <c r="E27" i="44"/>
  <c r="L27" i="44"/>
  <c r="U27" i="44" s="1"/>
  <c r="E28" i="44"/>
  <c r="L28" i="44"/>
  <c r="U28" i="44"/>
  <c r="E29" i="44"/>
  <c r="E30" i="44" s="1"/>
  <c r="L29" i="44"/>
  <c r="U29" i="44" s="1"/>
  <c r="L30" i="44"/>
  <c r="U30" i="44" s="1"/>
  <c r="L31" i="44"/>
  <c r="U31" i="44" s="1"/>
  <c r="L32" i="44"/>
  <c r="U32" i="44"/>
  <c r="L33" i="44"/>
  <c r="U33" i="44"/>
  <c r="L34" i="44"/>
  <c r="U34" i="44" s="1"/>
  <c r="L35" i="44"/>
  <c r="U35" i="44"/>
  <c r="L36" i="44"/>
  <c r="U36" i="44" s="1"/>
  <c r="O36" i="44"/>
  <c r="O42" i="44" s="1"/>
  <c r="Q36" i="44"/>
  <c r="S37" i="44"/>
  <c r="U37" i="44"/>
  <c r="R38" i="44"/>
  <c r="U38" i="44"/>
  <c r="M39" i="44"/>
  <c r="U39" i="44" s="1"/>
  <c r="Q39" i="44"/>
  <c r="Q40" i="44"/>
  <c r="Q42" i="44" s="1"/>
  <c r="R40" i="44"/>
  <c r="R42" i="44" s="1"/>
  <c r="S40" i="44"/>
  <c r="U40" i="44"/>
  <c r="U41" i="44"/>
  <c r="I42" i="44"/>
  <c r="J42" i="44"/>
  <c r="K42" i="44"/>
  <c r="N42" i="44"/>
  <c r="P42" i="44"/>
  <c r="T42" i="44"/>
  <c r="S33" i="43"/>
  <c r="J12" i="40" l="1"/>
  <c r="S33" i="46"/>
  <c r="L42" i="44"/>
  <c r="S42" i="44"/>
  <c r="M42" i="44"/>
  <c r="U25" i="44"/>
  <c r="U42" i="44" s="1"/>
  <c r="E31" i="44"/>
  <c r="J24" i="22"/>
  <c r="K24" i="22"/>
  <c r="L24" i="22"/>
  <c r="M24" i="22"/>
  <c r="N24" i="22"/>
  <c r="O24" i="22"/>
  <c r="P24" i="22"/>
  <c r="Q24" i="22"/>
  <c r="R24" i="22"/>
  <c r="S24" i="22"/>
  <c r="T24" i="22"/>
  <c r="I24" i="22"/>
  <c r="T60" i="10"/>
  <c r="K60" i="10"/>
  <c r="L60" i="10"/>
  <c r="M60" i="10"/>
  <c r="N60" i="10"/>
  <c r="O60" i="10"/>
  <c r="P60" i="10"/>
  <c r="R60" i="10"/>
  <c r="S60" i="10"/>
  <c r="U24" i="10"/>
  <c r="Q24" i="10"/>
  <c r="N24" i="10"/>
  <c r="K24" i="10"/>
  <c r="T24" i="42" l="1"/>
  <c r="U24" i="42" s="1"/>
  <c r="S30" i="41" s="1"/>
  <c r="T23" i="42"/>
  <c r="U23" i="42" s="1"/>
  <c r="S29" i="41" l="1"/>
  <c r="U26" i="42"/>
  <c r="T26" i="42"/>
  <c r="S33" i="41"/>
  <c r="U27" i="35" l="1"/>
  <c r="T77" i="39" l="1"/>
  <c r="S77" i="39"/>
  <c r="Q77" i="39"/>
  <c r="M77" i="39"/>
  <c r="J77" i="39"/>
  <c r="I77" i="39"/>
  <c r="U76" i="39"/>
  <c r="U75" i="39"/>
  <c r="U33" i="38" s="1"/>
  <c r="U74" i="39"/>
  <c r="U73" i="39"/>
  <c r="U72" i="39"/>
  <c r="R71" i="39"/>
  <c r="L71" i="39"/>
  <c r="U70" i="39"/>
  <c r="U69" i="39"/>
  <c r="R68" i="39"/>
  <c r="L68" i="39"/>
  <c r="R67" i="39"/>
  <c r="L67" i="39"/>
  <c r="R66" i="39"/>
  <c r="L66" i="39"/>
  <c r="U65" i="39"/>
  <c r="U64" i="39"/>
  <c r="U63" i="39"/>
  <c r="U62" i="39"/>
  <c r="U61" i="39"/>
  <c r="U60" i="39"/>
  <c r="U59" i="39"/>
  <c r="U58" i="39"/>
  <c r="U57" i="39"/>
  <c r="U56" i="39"/>
  <c r="U55" i="39"/>
  <c r="U54" i="39"/>
  <c r="U53" i="39"/>
  <c r="U52" i="39"/>
  <c r="U51" i="39"/>
  <c r="U50" i="39"/>
  <c r="U49" i="39"/>
  <c r="U48" i="39"/>
  <c r="U47" i="39"/>
  <c r="U46" i="39"/>
  <c r="U45" i="39"/>
  <c r="U44" i="39"/>
  <c r="U43" i="39"/>
  <c r="R42" i="39"/>
  <c r="N42" i="39"/>
  <c r="N77" i="39" s="1"/>
  <c r="K42" i="39"/>
  <c r="U41" i="39"/>
  <c r="U40" i="39"/>
  <c r="U39" i="39"/>
  <c r="U38" i="39"/>
  <c r="B38" i="39"/>
  <c r="K37" i="39"/>
  <c r="U37" i="39" s="1"/>
  <c r="U36" i="39"/>
  <c r="U35" i="39"/>
  <c r="R34" i="39"/>
  <c r="O34" i="39"/>
  <c r="L34" i="39"/>
  <c r="R33" i="39"/>
  <c r="O33" i="39"/>
  <c r="L33" i="39"/>
  <c r="U33" i="39" s="1"/>
  <c r="U32" i="39"/>
  <c r="U31" i="39"/>
  <c r="U30" i="39"/>
  <c r="U29" i="39"/>
  <c r="U28" i="39"/>
  <c r="U26" i="39"/>
  <c r="U25" i="39"/>
  <c r="U27" i="39"/>
  <c r="P24" i="39"/>
  <c r="U24" i="39" s="1"/>
  <c r="B24" i="39"/>
  <c r="U66" i="39" l="1"/>
  <c r="U34" i="39"/>
  <c r="U20" i="38"/>
  <c r="U71" i="39"/>
  <c r="U42" i="39"/>
  <c r="U29" i="38" s="1"/>
  <c r="U68" i="39"/>
  <c r="U32" i="38"/>
  <c r="U67" i="39"/>
  <c r="U77" i="39" s="1"/>
  <c r="O77" i="39"/>
  <c r="R77" i="39"/>
  <c r="K77" i="39"/>
  <c r="L77" i="39"/>
  <c r="P77" i="39"/>
  <c r="U36" i="38" l="1"/>
  <c r="E21" i="35"/>
  <c r="U21" i="35"/>
  <c r="E22" i="35"/>
  <c r="U22" i="35"/>
  <c r="E23" i="35"/>
  <c r="U23" i="35"/>
  <c r="E24" i="35"/>
  <c r="U24" i="35"/>
  <c r="E25" i="35"/>
  <c r="S25" i="35"/>
  <c r="S27" i="35" s="1"/>
  <c r="U25" i="35"/>
  <c r="E26" i="35"/>
  <c r="U26" i="35"/>
  <c r="I27" i="35"/>
  <c r="J27" i="35"/>
  <c r="K27" i="35"/>
  <c r="L27" i="35"/>
  <c r="M27" i="35"/>
  <c r="N27" i="35"/>
  <c r="O27" i="35"/>
  <c r="P27" i="35"/>
  <c r="Q27" i="35"/>
  <c r="R27" i="35"/>
  <c r="T27" i="35"/>
  <c r="S23" i="34" l="1"/>
  <c r="S20" i="34"/>
  <c r="S21" i="34"/>
  <c r="S35" i="34" s="1"/>
  <c r="L50" i="10" l="1"/>
  <c r="U50" i="10" s="1"/>
  <c r="I59" i="10" l="1"/>
  <c r="H31" i="24"/>
  <c r="K32" i="24"/>
  <c r="U24" i="24"/>
  <c r="S25" i="24"/>
  <c r="U25" i="24" s="1"/>
  <c r="S26" i="24"/>
  <c r="U26" i="24" s="1"/>
  <c r="S27" i="24"/>
  <c r="U27" i="24" s="1"/>
  <c r="S24" i="24"/>
  <c r="J59" i="10" l="1"/>
  <c r="J60" i="10" s="1"/>
  <c r="I60" i="10"/>
  <c r="I21" i="4"/>
  <c r="U21" i="4" s="1"/>
  <c r="C110" i="29" l="1"/>
  <c r="C111" i="29"/>
  <c r="C112" i="29"/>
  <c r="C113" i="29"/>
  <c r="C114" i="29"/>
  <c r="C115" i="29"/>
  <c r="C116" i="29"/>
  <c r="C109" i="29"/>
  <c r="C107" i="29"/>
  <c r="C106" i="29"/>
  <c r="C73" i="29"/>
  <c r="C74" i="29"/>
  <c r="C75" i="29"/>
  <c r="C76" i="29"/>
  <c r="C77" i="29"/>
  <c r="C78" i="29"/>
  <c r="C79" i="29"/>
  <c r="C80" i="29"/>
  <c r="C81" i="29"/>
  <c r="C82" i="29"/>
  <c r="C83" i="29"/>
  <c r="C84" i="29"/>
  <c r="C85" i="29"/>
  <c r="C86" i="29"/>
  <c r="C87" i="29"/>
  <c r="C88" i="29"/>
  <c r="C89" i="29"/>
  <c r="C90" i="29"/>
  <c r="C91" i="29"/>
  <c r="C92" i="29"/>
  <c r="C93" i="29"/>
  <c r="C94" i="29"/>
  <c r="C95" i="29"/>
  <c r="C96" i="29"/>
  <c r="C97" i="29"/>
  <c r="C98" i="29"/>
  <c r="C99" i="29"/>
  <c r="C100" i="29"/>
  <c r="C101" i="29"/>
  <c r="C102" i="29"/>
  <c r="C103" i="29"/>
  <c r="C104" i="29"/>
  <c r="C72" i="29"/>
  <c r="C25" i="29"/>
  <c r="C26" i="29"/>
  <c r="C27" i="29"/>
  <c r="C28" i="29"/>
  <c r="C29" i="29"/>
  <c r="C30" i="29"/>
  <c r="C31" i="29"/>
  <c r="C32" i="29"/>
  <c r="C33" i="29"/>
  <c r="C34" i="29"/>
  <c r="C35" i="29"/>
  <c r="C36" i="29"/>
  <c r="C37" i="29"/>
  <c r="C38" i="29"/>
  <c r="C39" i="29"/>
  <c r="C40"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C24" i="29"/>
  <c r="C13" i="29"/>
  <c r="C14" i="29"/>
  <c r="C15" i="29"/>
  <c r="C16" i="29"/>
  <c r="C17" i="29"/>
  <c r="C18" i="29"/>
  <c r="C19" i="29"/>
  <c r="C20" i="29"/>
  <c r="C21" i="29"/>
  <c r="C22" i="29"/>
  <c r="C12" i="29"/>
  <c r="C117" i="29" l="1"/>
  <c r="C108" i="29"/>
  <c r="C23" i="29"/>
  <c r="C71" i="29"/>
  <c r="C105" i="29"/>
  <c r="C118" i="29" l="1"/>
  <c r="C21" i="33" l="1"/>
  <c r="F7" i="28" l="1"/>
  <c r="G7" i="28"/>
  <c r="D7" i="28"/>
  <c r="J5" i="28" s="1"/>
  <c r="H5" i="28"/>
  <c r="H6" i="28"/>
  <c r="H4" i="28"/>
  <c r="E7" i="28"/>
  <c r="C8" i="27"/>
  <c r="C11" i="27" s="1"/>
  <c r="E15" i="30"/>
  <c r="G15" i="30"/>
  <c r="F15" i="30"/>
  <c r="D15" i="30"/>
  <c r="D9" i="27" l="1"/>
  <c r="D5" i="27"/>
  <c r="H7" i="28"/>
  <c r="D10" i="27"/>
  <c r="D7" i="27"/>
  <c r="D6" i="27"/>
  <c r="J6" i="28"/>
  <c r="E8" i="27"/>
  <c r="J4" i="28"/>
  <c r="E6" i="27" l="1"/>
  <c r="J6" i="27"/>
  <c r="J7" i="27"/>
  <c r="J4" i="27"/>
  <c r="E5" i="27"/>
  <c r="E7" i="27"/>
  <c r="J8" i="27"/>
  <c r="E4" i="27"/>
  <c r="J5" i="27"/>
  <c r="J9" i="27" l="1"/>
  <c r="N41" i="10" l="1"/>
  <c r="U41" i="10" s="1"/>
  <c r="O40" i="10"/>
  <c r="U40" i="10" s="1"/>
  <c r="A23" i="22" l="1"/>
  <c r="K22" i="22"/>
  <c r="L22" i="22"/>
  <c r="M22" i="22"/>
  <c r="J22" i="22"/>
  <c r="U21" i="22"/>
  <c r="A22" i="22"/>
  <c r="U23" i="22"/>
  <c r="P36" i="24"/>
  <c r="S23" i="22" l="1"/>
  <c r="U22" i="22"/>
  <c r="C6" i="30" s="1"/>
  <c r="H6" i="30" l="1"/>
  <c r="U25" i="10" l="1"/>
  <c r="U27" i="10"/>
  <c r="U31" i="10"/>
  <c r="U32" i="10"/>
  <c r="U43" i="10"/>
  <c r="U45" i="10"/>
  <c r="U51" i="10"/>
  <c r="U55" i="10"/>
  <c r="S17" i="9" l="1"/>
  <c r="L33" i="2"/>
  <c r="U33" i="2" s="1"/>
  <c r="O32" i="2"/>
  <c r="U32" i="2" s="1"/>
  <c r="L31" i="2"/>
  <c r="U31" i="2" s="1"/>
  <c r="L30" i="2"/>
  <c r="U30" i="2" s="1"/>
  <c r="L29" i="2"/>
  <c r="U29" i="2" s="1"/>
  <c r="L28" i="2"/>
  <c r="U28" i="2" s="1"/>
  <c r="L27" i="2"/>
  <c r="U27" i="2" s="1"/>
  <c r="L26" i="2"/>
  <c r="U26" i="2" s="1"/>
  <c r="O25" i="2"/>
  <c r="U25" i="2" s="1"/>
  <c r="O24" i="2"/>
  <c r="U24" i="2" s="1"/>
  <c r="O23" i="2"/>
  <c r="O22" i="2"/>
  <c r="U21" i="2"/>
  <c r="E21" i="2"/>
  <c r="S38" i="24" l="1"/>
  <c r="R38" i="24"/>
  <c r="M38" i="24"/>
  <c r="L38" i="24"/>
  <c r="J38" i="24"/>
  <c r="I38" i="24"/>
  <c r="P37" i="24"/>
  <c r="U37" i="24" s="1"/>
  <c r="U36" i="24"/>
  <c r="P35" i="24"/>
  <c r="U35" i="24" s="1"/>
  <c r="T34" i="24"/>
  <c r="Q34" i="24"/>
  <c r="N34" i="24"/>
  <c r="K34" i="24"/>
  <c r="T33" i="24"/>
  <c r="Q33" i="24"/>
  <c r="N33" i="24"/>
  <c r="K33" i="24"/>
  <c r="T32" i="24"/>
  <c r="Q32" i="24"/>
  <c r="N32" i="24"/>
  <c r="T31" i="24"/>
  <c r="U31" i="24" s="1"/>
  <c r="T30" i="24"/>
  <c r="U30" i="24" s="1"/>
  <c r="T29" i="24"/>
  <c r="U29" i="24" s="1"/>
  <c r="T28" i="24"/>
  <c r="S28" i="23" s="1"/>
  <c r="O23" i="24"/>
  <c r="U23" i="24" s="1"/>
  <c r="O22" i="24"/>
  <c r="U22" i="24" s="1"/>
  <c r="O21" i="24"/>
  <c r="U21" i="24" s="1"/>
  <c r="O20" i="24"/>
  <c r="U20" i="24" l="1"/>
  <c r="S21" i="23"/>
  <c r="C11" i="30" a="1"/>
  <c r="C11" i="30" s="1"/>
  <c r="B11" i="30" a="1"/>
  <c r="B11" i="30" s="1"/>
  <c r="K38" i="24"/>
  <c r="U32" i="24"/>
  <c r="U33" i="24"/>
  <c r="Q38" i="24"/>
  <c r="T38" i="24"/>
  <c r="N38" i="24"/>
  <c r="O38" i="24"/>
  <c r="U28" i="24"/>
  <c r="U34" i="24"/>
  <c r="P38" i="24"/>
  <c r="H24" i="22"/>
  <c r="A21" i="22"/>
  <c r="S33" i="21"/>
  <c r="S29" i="23" l="1"/>
  <c r="S44" i="23" s="1"/>
  <c r="H11" i="30"/>
  <c r="U38" i="24"/>
  <c r="I34" i="2"/>
  <c r="I35" i="2" s="1"/>
  <c r="U23" i="2"/>
  <c r="I11" i="30" l="1"/>
  <c r="C7" i="30"/>
  <c r="I7" i="30" l="1"/>
  <c r="B7" i="30"/>
  <c r="H7" i="30" s="1"/>
  <c r="J7" i="30" s="1"/>
  <c r="O34" i="2"/>
  <c r="O35" i="2" s="1"/>
  <c r="N34" i="2"/>
  <c r="N35" i="2" s="1"/>
  <c r="M34" i="2"/>
  <c r="M35" i="2" s="1"/>
  <c r="L34" i="2"/>
  <c r="S34" i="2" s="1"/>
  <c r="S35" i="2" s="1"/>
  <c r="K34" i="2"/>
  <c r="K35" i="2" s="1"/>
  <c r="J34" i="2"/>
  <c r="J35" i="2" s="1"/>
  <c r="T34" i="2" l="1"/>
  <c r="T35" i="2" s="1"/>
  <c r="R34" i="2"/>
  <c r="R35" i="2" s="1"/>
  <c r="Q34" i="2"/>
  <c r="Q35" i="2" s="1"/>
  <c r="P34" i="2"/>
  <c r="P35" i="2" s="1"/>
  <c r="J23" i="4"/>
  <c r="K23" i="4"/>
  <c r="I23" i="4"/>
  <c r="U34" i="2" l="1"/>
  <c r="B10" i="30" l="1"/>
  <c r="S49" i="1"/>
  <c r="S50" i="1" s="1"/>
  <c r="C9" i="30" a="1"/>
  <c r="C9" i="30" s="1"/>
  <c r="B9" i="30" a="1"/>
  <c r="B9" i="30" s="1"/>
  <c r="H9" i="30" l="1"/>
  <c r="I9" i="30"/>
  <c r="J9" i="30" l="1"/>
  <c r="J11" i="30"/>
  <c r="T58" i="10"/>
  <c r="S58" i="10"/>
  <c r="R58" i="10"/>
  <c r="Q58" i="10"/>
  <c r="P58" i="10"/>
  <c r="O58" i="10"/>
  <c r="N58" i="10"/>
  <c r="M58" i="10"/>
  <c r="L58" i="10"/>
  <c r="K58" i="10"/>
  <c r="J58" i="10"/>
  <c r="I58" i="10"/>
  <c r="T57" i="10"/>
  <c r="S57" i="10"/>
  <c r="R57" i="10"/>
  <c r="Q57" i="10"/>
  <c r="P57" i="10"/>
  <c r="O57" i="10"/>
  <c r="N57" i="10"/>
  <c r="M57" i="10"/>
  <c r="L57" i="10"/>
  <c r="K57" i="10"/>
  <c r="J57" i="10"/>
  <c r="I57" i="10"/>
  <c r="T56" i="10"/>
  <c r="S56" i="10"/>
  <c r="R56" i="10"/>
  <c r="Q56" i="10"/>
  <c r="P56" i="10"/>
  <c r="O56" i="10"/>
  <c r="N56" i="10"/>
  <c r="M56" i="10"/>
  <c r="L56" i="10"/>
  <c r="K56" i="10"/>
  <c r="J56" i="10"/>
  <c r="I56" i="10"/>
  <c r="E55" i="10"/>
  <c r="N54" i="10"/>
  <c r="U54" i="10" s="1"/>
  <c r="N53" i="10"/>
  <c r="U53" i="10" s="1"/>
  <c r="N52" i="10"/>
  <c r="U52" i="10" s="1"/>
  <c r="T49" i="10"/>
  <c r="U49" i="10" s="1"/>
  <c r="T48" i="10"/>
  <c r="U48" i="10" s="1"/>
  <c r="H47" i="10"/>
  <c r="S47" i="10" s="1"/>
  <c r="U47" i="10" s="1"/>
  <c r="S46" i="10"/>
  <c r="U46" i="10" s="1"/>
  <c r="O44" i="10"/>
  <c r="U44" i="10" s="1"/>
  <c r="O42" i="10"/>
  <c r="U42" i="10" s="1"/>
  <c r="N39" i="10"/>
  <c r="U39" i="10" s="1"/>
  <c r="N38" i="10"/>
  <c r="U38" i="10" s="1"/>
  <c r="O37" i="10"/>
  <c r="U37" i="10" s="1"/>
  <c r="M36" i="10"/>
  <c r="U36" i="10" s="1"/>
  <c r="N35" i="10"/>
  <c r="U35" i="10" s="1"/>
  <c r="M34" i="10"/>
  <c r="U34" i="10" s="1"/>
  <c r="K33" i="10"/>
  <c r="U33" i="10" s="1"/>
  <c r="R30" i="10"/>
  <c r="O30" i="10"/>
  <c r="L30" i="10"/>
  <c r="I30" i="10"/>
  <c r="Q29" i="10"/>
  <c r="Q60" i="10" s="1"/>
  <c r="S28" i="10"/>
  <c r="U28" i="10" s="1"/>
  <c r="S28" i="9" s="1"/>
  <c r="M26" i="10"/>
  <c r="U26" i="10" s="1"/>
  <c r="B14" i="30" l="1" a="1"/>
  <c r="B14" i="30" s="1"/>
  <c r="C14" i="30" a="1"/>
  <c r="C14" i="30" s="1"/>
  <c r="I14" i="30"/>
  <c r="S33" i="9"/>
  <c r="S25" i="9"/>
  <c r="U59" i="10"/>
  <c r="U29" i="10"/>
  <c r="U58" i="10"/>
  <c r="U30" i="10"/>
  <c r="U57" i="10"/>
  <c r="U56" i="10"/>
  <c r="E19" i="40" l="1" a="1"/>
  <c r="E19" i="40" s="1"/>
  <c r="E23" i="40" s="1"/>
  <c r="D19" i="40" a="1"/>
  <c r="D19" i="40" s="1"/>
  <c r="C12" i="30" a="1"/>
  <c r="C12" i="30" s="1"/>
  <c r="S31" i="9"/>
  <c r="S42" i="9" s="1"/>
  <c r="B12" i="30" a="1"/>
  <c r="B12" i="30" s="1"/>
  <c r="H14" i="30"/>
  <c r="U60" i="10"/>
  <c r="F19" i="40" l="1"/>
  <c r="D23" i="40"/>
  <c r="I12" i="30"/>
  <c r="H12" i="30"/>
  <c r="J12" i="30" s="1"/>
  <c r="J14" i="30"/>
  <c r="J19" i="40" l="1"/>
  <c r="F23" i="40"/>
  <c r="C5" i="30" a="1"/>
  <c r="C5" i="30" s="1"/>
  <c r="B5" i="30" a="1"/>
  <c r="B5" i="30" s="1"/>
  <c r="C8" i="30" a="1"/>
  <c r="C8" i="30" s="1"/>
  <c r="I5" i="30" l="1"/>
  <c r="I8" i="30"/>
  <c r="B8" i="30" a="1"/>
  <c r="B8" i="30" s="1"/>
  <c r="H8" i="30" s="1"/>
  <c r="J8" i="30" s="1"/>
  <c r="H5" i="30"/>
  <c r="T22" i="4"/>
  <c r="S22" i="4"/>
  <c r="R22" i="4"/>
  <c r="Q22" i="4"/>
  <c r="P22" i="4"/>
  <c r="O22" i="4"/>
  <c r="N22" i="4"/>
  <c r="M22" i="4"/>
  <c r="L22" i="4"/>
  <c r="T20" i="4"/>
  <c r="T23" i="4" s="1"/>
  <c r="S20" i="4"/>
  <c r="S23" i="4" s="1"/>
  <c r="R20" i="4"/>
  <c r="Q20" i="4"/>
  <c r="P20" i="4"/>
  <c r="O20" i="4"/>
  <c r="N20" i="4"/>
  <c r="M20" i="4"/>
  <c r="L20" i="4"/>
  <c r="U22" i="4" l="1"/>
  <c r="U20" i="4"/>
  <c r="M23" i="4"/>
  <c r="N23" i="4"/>
  <c r="L23" i="4"/>
  <c r="O23" i="4"/>
  <c r="P23" i="4"/>
  <c r="U23" i="4"/>
  <c r="B13" i="30"/>
  <c r="Q23" i="4"/>
  <c r="R23" i="4"/>
  <c r="J5" i="30"/>
  <c r="L20" i="2"/>
  <c r="L35" i="2" s="1"/>
  <c r="I13" i="30" l="1"/>
  <c r="S18" i="3"/>
  <c r="S22" i="3" s="1"/>
  <c r="H13" i="30"/>
  <c r="J13" i="30" s="1"/>
  <c r="B15" i="30"/>
  <c r="B16" i="30" s="1"/>
  <c r="U20" i="2"/>
  <c r="U22" i="2"/>
  <c r="H23" i="40" l="1"/>
  <c r="I23" i="40"/>
  <c r="G23" i="40"/>
  <c r="C10" i="30"/>
  <c r="U24" i="22"/>
  <c r="I6" i="30" l="1"/>
  <c r="J6" i="30" s="1"/>
  <c r="I10" i="30"/>
  <c r="H10" i="30"/>
  <c r="C15" i="30"/>
  <c r="J23" i="40" l="1"/>
  <c r="J10" i="30"/>
  <c r="H15"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tc={180E64F7-8F41-42C5-A41B-896655ACE13A}</author>
  </authors>
  <commentList>
    <comment ref="S20" authorId="0" shapeId="0" xr:uid="{180E64F7-8F41-42C5-A41B-896655ACE13A}">
      <text>
        <t xml:space="preserve">[Threaded comment]
Your version of Excel allows you to read this threaded comment; however, any edits to it will get removed if the file is opened in a newer version of Excel. Learn more: https://go.microsoft.com/fwlink/?linkid=870924
Comment:
    =(400*4)*56
Reply:
    400 dólares para capacitación y materiales. Con el apoyo de administracion y finanza para el refrigerio.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tc={10808B88-9B0F-4925-BCD1-27D489C0AEFB}</author>
    <author>tc={DCF39966-E42B-4A81-8353-33122970B74C}</author>
  </authors>
  <commentList>
    <comment ref="G34" authorId="0" shapeId="0" xr:uid="{10808B88-9B0F-4925-BCD1-27D489C0AEFB}">
      <text>
        <t>[Threaded comment]
Your version of Excel allows you to read this threaded comment; however, any edits to it will get removed if the file is opened in a newer version of Excel. Learn more: https://go.microsoft.com/fwlink/?linkid=870924
Comment:
    3 personas consideradas para ir en cada visita, en cada mes se multiplica el costo unitario por la cantidad de visitas a realizar según la planificación.</t>
      </text>
    </comment>
    <comment ref="H34" authorId="1" shapeId="0" xr:uid="{DCF39966-E42B-4A81-8353-33122970B74C}">
      <text>
        <t>[Threaded comment]
Your version of Excel allows you to read this threaded comment; however, any edits to it will get removed if the file is opened in a newer version of Excel. Learn more: https://go.microsoft.com/fwlink/?linkid=870924
Comment:
    Este costo unitario es la suma de los viáticos de las 3 personas que irían a cada visita, considerandose al Director de Operaciones, una persona del grupo de Profesionales y una persona del grupo de Técnicos.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tc={D0C99D2B-1372-4F73-8909-663BBDF27733}</author>
    <author>tc={59F1A8E7-6029-4FEE-BF46-E2A4E52C57F4}</author>
    <author>tc={A13985EA-F5BF-486B-AC8A-E0E89DF2F690}</author>
    <author>tc={15C49BFD-01C0-4315-819C-9926E9DDF6FD}</author>
    <author>tc={879B54FC-3B65-44B6-9CBE-C23A42B8251B}</author>
    <author>tc={3AA18A7A-DE63-497E-A7BB-1C81A27BC859}</author>
    <author>tc={47BA2915-78D0-4837-9089-656CD001BC4E}</author>
    <author>tc={3EF36D78-34A4-476D-A1B1-7C94AF4A997A}</author>
    <author>tc={F1F9AA6F-A019-4D7E-8705-7461CD171241}</author>
    <author>tc={C7F9D9ED-9497-4D82-9FF5-1762CC522529}</author>
    <author>tc={5CC24B4F-9DE8-429B-B7FB-36FE4E8D10C9}</author>
    <author>tc={0383F65B-98EC-4E6F-ADF2-48B0C69222D6}</author>
    <author>tc={C39315FD-DA3C-4A5F-A262-44B5BEB43128}</author>
    <author>tc={8C4B8DC8-3954-41B7-97F9-304B41AA3E1F}</author>
    <author>tc={B12DB2DB-E7FE-4503-94B3-EF9E3A350C71}</author>
    <author>tc={B3328E96-4B1D-4DBA-AC9C-7BF82C343774}</author>
  </authors>
  <commentList>
    <comment ref="L24" authorId="0" shapeId="0" xr:uid="{D0C99D2B-1372-4F73-8909-663BBDF27733}">
      <text>
        <t>[Threaded comment]
Your version of Excel allows you to read this threaded comment; however, any edits to it will get removed if the file is opened in a newer version of Excel. Learn more: https://go.microsoft.com/fwlink/?linkid=870924
Comment:
    Monto de contrato pendente 2023.</t>
      </text>
    </comment>
    <comment ref="D26" authorId="1" shapeId="0" xr:uid="{59F1A8E7-6029-4FEE-BF46-E2A4E52C57F4}">
      <text>
        <t>[Threaded comment]
Your version of Excel allows you to read this threaded comment; however, any edits to it will get removed if the file is opened in a newer version of Excel. Learn more: https://go.microsoft.com/fwlink/?linkid=870924
Comment:
    Paula hizo el siguiente comentario: Ver necesidad en el primer trimestre.
Reply:
    Modificado para los 2 ultimos trimestres del año 2024</t>
      </text>
    </comment>
    <comment ref="D27" authorId="2" shapeId="0" xr:uid="{A13985EA-F5BF-486B-AC8A-E0E89DF2F690}">
      <text>
        <t>[Threaded comment]
Your version of Excel allows you to read this threaded comment; however, any edits to it will get removed if the file is opened in a newer version of Excel. Learn more: https://go.microsoft.com/fwlink/?linkid=870924
Comment:
    Adicionar 28 mil pesos a esta partida de actividad eliminada (Mantenimiento depositos de agua potable)</t>
      </text>
    </comment>
    <comment ref="J27" authorId="3" shapeId="0" xr:uid="{15C49BFD-01C0-4315-819C-9926E9DDF6FD}">
      <text>
        <t>[Threaded comment]
Your version of Excel allows you to read this threaded comment; however, any edits to it will get removed if the file is opened in a newer version of Excel. Learn more: https://go.microsoft.com/fwlink/?linkid=870924
Comment:
    Monto de contrato pendiente 2023.</t>
      </text>
    </comment>
    <comment ref="D31" authorId="4" shapeId="0" xr:uid="{879B54FC-3B65-44B6-9CBE-C23A42B8251B}">
      <text>
        <t>[Threaded comment]
Your version of Excel allows you to read this threaded comment; however, any edits to it will get removed if the file is opened in a newer version of Excel. Learn more: https://go.microsoft.com/fwlink/?linkid=870924
Comment:
    Paula hizo el siguiente comentario: Ver monto repetido para esta situación, favor de considerar el desglose para colocar la cuenta correcta según se vaya a trabajar.
Reply:
    Cambio actividad, señalización por letrero</t>
      </text>
    </comment>
    <comment ref="M40" authorId="5" shapeId="0" xr:uid="{3AA18A7A-DE63-497E-A7BB-1C81A27BC859}">
      <text>
        <t>[Threaded comment]
Your version of Excel allows you to read this threaded comment; however, any edits to it will get removed if the file is opened in a newer version of Excel. Learn more: https://go.microsoft.com/fwlink/?linkid=870924
Comment:
    Monto de contrato pendiente 2023.</t>
      </text>
    </comment>
    <comment ref="D41" authorId="6" shapeId="0" xr:uid="{47BA2915-78D0-4837-9089-656CD001BC4E}">
      <text>
        <t>[Threaded comment]
Your version of Excel allows you to read this threaded comment; however, any edits to it will get removed if the file is opened in a newer version of Excel. Learn more: https://go.microsoft.com/fwlink/?linkid=870924
Comment:
    Partida adicionada al haber eliminado los servicios de jardinería</t>
      </text>
    </comment>
    <comment ref="D45" authorId="7" shapeId="0" xr:uid="{3EF36D78-34A4-476D-A1B1-7C94AF4A997A}">
      <text>
        <t>[Threaded comment]
Your version of Excel allows you to read this threaded comment; however, any edits to it will get removed if the file is opened in a newer version of Excel. Learn more: https://go.microsoft.com/fwlink/?linkid=870924
Comment:
    Eliminada actividad de mantenimiento de ascensor y adicionado el monto a esta partida</t>
      </text>
    </comment>
    <comment ref="N47" authorId="8" shapeId="0" xr:uid="{F1F9AA6F-A019-4D7E-8705-7461CD171241}">
      <text>
        <t>[Threaded comment]
Your version of Excel allows you to read this threaded comment; however, any edits to it will get removed if the file is opened in a newer version of Excel. Learn more: https://go.microsoft.com/fwlink/?linkid=870924
Comment:
    Monto de contrato pendente del 2023.</t>
      </text>
    </comment>
    <comment ref="D52" authorId="9" shapeId="0" xr:uid="{C7F9D9ED-9497-4D82-9FF5-1762CC522529}">
      <text>
        <t>[Threaded comment]
Your version of Excel allows you to read this threaded comment; however, any edits to it will get removed if the file is opened in a newer version of Excel. Learn more: https://go.microsoft.com/fwlink/?linkid=870924
Comment:
    Paula hizo el siguiente comentario:  Validar si esta compra es suficiente para iniciar el año sin controversias. Además necesito listado a editar en el desglose de este monto.
Reply:
    Aumentada partida con monto de mampara, actividad eliminada
Reply:
    Recordar documentar a Compras el detalle de los insumos que engloba esta partida.</t>
      </text>
    </comment>
    <comment ref="D53" authorId="10" shapeId="0" xr:uid="{5CC24B4F-9DE8-429B-B7FB-36FE4E8D10C9}">
      <text>
        <t xml:space="preserve">[Threaded comment]
Your version of Excel allows you to read this threaded comment; however, any edits to it will get removed if the file is opened in a newer version of Excel. Learn more: https://go.microsoft.com/fwlink/?linkid=870924
Comment:
    Paula hizo el siguiente comentario: Validar si esta compra es suficiente para iniciar el año son controversias. Además necesito listado a editar en el desglose de este monto.
Reply:
    Aumentada partida con monto de mampara, actividad eliminada
Reply:
    Recordar documentar a Compras el detalle de los insumos que engloba esta partida.
</t>
      </text>
    </comment>
    <comment ref="D54" authorId="11" shapeId="0" xr:uid="{0383F65B-98EC-4E6F-ADF2-48B0C69222D6}">
      <text>
        <t xml:space="preserve">[Threaded comment]
Your version of Excel allows you to read this threaded comment; however, any edits to it will get removed if the file is opened in a newer version of Excel. Learn more: https://go.microsoft.com/fwlink/?linkid=870924
Comment:
    Paula hizo el siguiente comentario: Validar si esta compra es suficiente para iniciar el año son controversias. Además necesito listado a editar en el desglose de este monto.
Reply:
    Recordar documentar a Compras el detalle de los insumos que engloba esta partida.
</t>
      </text>
    </comment>
    <comment ref="D55" authorId="12" shapeId="0" xr:uid="{C39315FD-DA3C-4A5F-A262-44B5BEB43128}">
      <text>
        <t>[Threaded comment]
Your version of Excel allows you to read this threaded comment; however, any edits to it will get removed if the file is opened in a newer version of Excel. Learn more: https://go.microsoft.com/fwlink/?linkid=870924
Comment:
    Paula hizo el siguiente comentario: Analizar el gasto de combustible dado que este año solo hemos comprado 
RD$2,657,500.
Reply:
    Dividí el combustible para que quede diferenciado el presupuesto de la partida de combustible asignado para las operaciones de la institución y del asignado al personal. 
Reply:
    Como el presupuesto anual para el combustibles es por RD$10,500,000.00 y 9MM son para el personal asignado, por lo que resta para las operaciones de la institución es de 1.5MM. Por favor valorar si es necesario aumentar el presupuesto para este insumo.</t>
      </text>
    </comment>
    <comment ref="L58" authorId="13" shapeId="0" xr:uid="{8C4B8DC8-3954-41B7-97F9-304B41AA3E1F}">
      <text>
        <t>[Threaded comment]
Your version of Excel allows you to read this threaded comment; however, any edits to it will get removed if the file is opened in a newer version of Excel. Learn more: https://go.microsoft.com/fwlink/?linkid=870924
Comment:
    Monto contrato pendiente 2023.</t>
      </text>
    </comment>
    <comment ref="D59" authorId="14" shapeId="0" xr:uid="{B12DB2DB-E7FE-4503-94B3-EF9E3A350C71}">
      <text>
        <t>[Threaded comment]
Your version of Excel allows you to read this threaded comment; however, any edits to it will get removed if the file is opened in a newer version of Excel. Learn more: https://go.microsoft.com/fwlink/?linkid=870924
Comment:
    Paula hizo la siguiente comentario: Suministrar listado de posibles uniformes
Reply:
    Modificada adquisición de uniformes por servicio de alquiler de escaners</t>
      </text>
    </comment>
    <comment ref="J60" authorId="15" shapeId="0" xr:uid="{B3328E96-4B1D-4DBA-AC9C-7BF82C343774}">
      <text>
        <t>[Threaded comment]
Your version of Excel allows you to read this threaded comment; however, any edits to it will get removed if the file is opened in a newer version of Excel. Learn more: https://go.microsoft.com/fwlink/?linkid=870924
Comment:
    Monto de contrato pendente del 2023.</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tc={9120733E-DD4B-42B3-86C6-8406BCC0237D}</author>
    <author>tc={740433AE-8602-4876-A352-26CCB43E1508}</author>
    <author>tc={42732D5F-AD4A-42D2-9673-B68F5E6695CF}</author>
    <author>tc={0D52BB3C-B11A-4444-B172-6D8941011ACD}</author>
    <author>tc={94D7638A-2B4B-420F-9C36-3AF98273FB39}</author>
    <author>tc={BDF0EBD1-F6F5-4C37-A6D9-2388B1386C31}</author>
  </authors>
  <commentList>
    <comment ref="K24" authorId="0" shapeId="0" xr:uid="{9120733E-DD4B-42B3-86C6-8406BCC0237D}">
      <text>
        <t>[Threaded comment]
Your version of Excel allows you to read this threaded comment; however, any edits to it will get removed if the file is opened in a newer version of Excel. Learn more: https://go.microsoft.com/fwlink/?linkid=870924
Comment:
    Fuente Plan de Capacitación anual SIUBEN 2024</t>
      </text>
    </comment>
    <comment ref="N24" authorId="1" shapeId="0" xr:uid="{740433AE-8602-4876-A352-26CCB43E1508}">
      <text>
        <t>[Threaded comment]
Your version of Excel allows you to read this threaded comment; however, any edits to it will get removed if the file is opened in a newer version of Excel. Learn more: https://go.microsoft.com/fwlink/?linkid=870924
Comment:
    Fuente Plan de Capacitación anual SIUBEN 2024</t>
      </text>
    </comment>
    <comment ref="Q24" authorId="2" shapeId="0" xr:uid="{42732D5F-AD4A-42D2-9673-B68F5E6695CF}">
      <text>
        <t>[Threaded comment]
Your version of Excel allows you to read this threaded comment; however, any edits to it will get removed if the file is opened in a newer version of Excel. Learn more: https://go.microsoft.com/fwlink/?linkid=870924
Comment:
    Fuente Plan de Capacitación anual SIUBEN 2024</t>
      </text>
    </comment>
    <comment ref="K50" authorId="3" shapeId="0" xr:uid="{0D52BB3C-B11A-4444-B172-6D8941011ACD}">
      <text>
        <t>[Threaded comment]
Your version of Excel allows you to read this threaded comment; however, any edits to it will get removed if the file is opened in a newer version of Excel. Learn more: https://go.microsoft.com/fwlink/?linkid=870924
Comment:
    Monto de contrato pendiente 2023.</t>
      </text>
    </comment>
    <comment ref="I59" authorId="4" shapeId="0" xr:uid="{94D7638A-2B4B-420F-9C36-3AF98273FB39}">
      <text>
        <t>[Threaded comment]
Your version of Excel allows you to read this threaded comment; however, any edits to it will get removed if the file is opened in a newer version of Excel. Learn more: https://go.microsoft.com/fwlink/?linkid=870924
Comment:
    Monto de contrato pendiente 2023.</t>
      </text>
    </comment>
    <comment ref="P59" authorId="5" shapeId="0" xr:uid="{BDF0EBD1-F6F5-4C37-A6D9-2388B1386C31}">
      <text>
        <t>[Threaded comment]
Your version of Excel allows you to read this threaded comment; however, any edits to it will get removed if the file is opened in a newer version of Excel. Learn more: https://go.microsoft.com/fwlink/?linkid=870924
Comment:
    Monto de contrato pendiente 2023.</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Wanda Alonzo</author>
  </authors>
  <commentList>
    <comment ref="C68" authorId="0" shapeId="0" xr:uid="{378871B6-A767-4B31-A516-7388BD08DDD6}">
      <text>
        <r>
          <rPr>
            <b/>
            <sz val="16"/>
            <color rgb="FF000000"/>
            <rFont val="Tahoma"/>
            <family val="2"/>
          </rPr>
          <t>Wanda Alonzo:</t>
        </r>
        <r>
          <rPr>
            <sz val="16"/>
            <color rgb="FF000000"/>
            <rFont val="Tahoma"/>
            <family val="2"/>
          </rPr>
          <t xml:space="preserve">
</t>
        </r>
        <r>
          <rPr>
            <sz val="16"/>
            <color rgb="FF000000"/>
            <rFont val="Tahoma"/>
            <family val="2"/>
          </rPr>
          <t xml:space="preserve">Oficinas regionales del SIUBEN con equipamiento tecnológico instalado para el almacenamiento y protección de la información
</t>
        </r>
      </text>
    </comment>
    <comment ref="C69" authorId="0" shapeId="0" xr:uid="{FCF04563-8806-4D62-B498-F6CEBA147410}">
      <text>
        <r>
          <rPr>
            <b/>
            <sz val="18"/>
            <color indexed="81"/>
            <rFont val="Tahoma"/>
            <family val="2"/>
          </rPr>
          <t>Wanda Alonzo:</t>
        </r>
        <r>
          <rPr>
            <sz val="18"/>
            <color indexed="81"/>
            <rFont val="Tahoma"/>
            <family val="2"/>
          </rPr>
          <t xml:space="preserve">
Oficinas regionales del SIUBEN con equipamiento tecnológico instalado para el almacenamiento y protección de la información</t>
        </r>
        <r>
          <rPr>
            <sz val="9"/>
            <color indexed="81"/>
            <rFont val="Tahoma"/>
            <family val="2"/>
          </rPr>
          <t xml:space="preserve">
</t>
        </r>
      </text>
    </comment>
    <comment ref="C77" authorId="0" shapeId="0" xr:uid="{46C7D21F-64DB-4950-8CF3-6129EDA78315}">
      <text>
        <r>
          <rPr>
            <b/>
            <sz val="14"/>
            <color rgb="FF000000"/>
            <rFont val="Tahoma"/>
            <family val="2"/>
          </rPr>
          <t>Wanda Alonzo:</t>
        </r>
        <r>
          <rPr>
            <sz val="14"/>
            <color rgb="FF000000"/>
            <rFont val="Tahoma"/>
            <family val="2"/>
          </rPr>
          <t xml:space="preserve">
</t>
        </r>
        <r>
          <rPr>
            <sz val="14"/>
            <color rgb="FF000000"/>
            <rFont val="Tahoma"/>
            <family val="2"/>
          </rPr>
          <t>Fortalecimiento de la capacidad estadística e institucional para una respuesta multisectorial a los flujos migratorios</t>
        </r>
        <r>
          <rPr>
            <sz val="9"/>
            <color rgb="FF000000"/>
            <rFont val="Tahoma"/>
            <family val="2"/>
          </rPr>
          <t xml:space="preserve">
</t>
        </r>
      </text>
    </comment>
    <comment ref="C78" authorId="0" shapeId="0" xr:uid="{2698CD35-3A13-4AE9-8CB2-642DB2E44241}">
      <text>
        <r>
          <rPr>
            <b/>
            <sz val="14"/>
            <color rgb="FF000000"/>
            <rFont val="Tahoma"/>
            <family val="2"/>
          </rPr>
          <t>Wanda Alonzo:</t>
        </r>
        <r>
          <rPr>
            <sz val="14"/>
            <color rgb="FF000000"/>
            <rFont val="Tahoma"/>
            <family val="2"/>
          </rPr>
          <t xml:space="preserve">
</t>
        </r>
        <r>
          <rPr>
            <sz val="14"/>
            <color rgb="FF000000"/>
            <rFont val="Tahoma"/>
            <family val="2"/>
          </rPr>
          <t>Fortalecimiento de la capacidad estadística e institucional para una respuesta multisectorial a los flujos migratorios</t>
        </r>
        <r>
          <rPr>
            <sz val="9"/>
            <color rgb="FF000000"/>
            <rFont val="Tahoma"/>
            <family val="2"/>
          </rPr>
          <t xml:space="preserve">
</t>
        </r>
      </text>
    </comment>
    <comment ref="C79" authorId="0" shapeId="0" xr:uid="{CDF08595-79AE-4259-B9FD-43AD94D0B2E2}">
      <text>
        <r>
          <rPr>
            <b/>
            <sz val="14"/>
            <color rgb="FF000000"/>
            <rFont val="Tahoma"/>
            <family val="2"/>
          </rPr>
          <t>Wanda Alonzo:</t>
        </r>
        <r>
          <rPr>
            <sz val="14"/>
            <color rgb="FF000000"/>
            <rFont val="Tahoma"/>
            <family val="2"/>
          </rPr>
          <t xml:space="preserve">
</t>
        </r>
        <r>
          <rPr>
            <sz val="14"/>
            <color rgb="FF000000"/>
            <rFont val="Tahoma"/>
            <family val="2"/>
          </rPr>
          <t>Fortalecimiento de la capacidad estadística e institucional para una respuesta multisectorial a los flujos migratorios</t>
        </r>
        <r>
          <rPr>
            <sz val="9"/>
            <color rgb="FF000000"/>
            <rFont val="Tahoma"/>
            <family val="2"/>
          </rPr>
          <t xml:space="preserve">
</t>
        </r>
      </text>
    </comment>
    <comment ref="C80" authorId="0" shapeId="0" xr:uid="{784AC341-70FF-4C81-AA71-D3E19F2BD107}">
      <text>
        <r>
          <rPr>
            <b/>
            <sz val="16"/>
            <color rgb="FF000000"/>
            <rFont val="Tahoma"/>
            <family val="2"/>
          </rPr>
          <t>Wanda Alonzo:</t>
        </r>
        <r>
          <rPr>
            <sz val="16"/>
            <color rgb="FF000000"/>
            <rFont val="Tahoma"/>
            <family val="2"/>
          </rPr>
          <t xml:space="preserve">
</t>
        </r>
        <r>
          <rPr>
            <sz val="16"/>
            <color rgb="FF000000"/>
            <rFont val="Tahoma"/>
            <family val="2"/>
          </rPr>
          <t>Oficinas regionales del SIUBEN con equipamiento tecnológico instalado para el almacenamiento y protección de la información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<sst xmlns="http://schemas.openxmlformats.org/spreadsheetml/2006/main" count="3767" uniqueCount="1351">
  <si>
    <t xml:space="preserve">DEPARTAMENTO DE PLANIFICACION Y DESARROLLO </t>
  </si>
  <si>
    <t>PLAN OPERATIVO ANUAL 2024</t>
  </si>
  <si>
    <t xml:space="preserve">DEPARTAMENTO </t>
  </si>
  <si>
    <t xml:space="preserve">EJE ESTRATEGICO </t>
  </si>
  <si>
    <t>Implementación del Registro Social Universal y el Registro Único de Beneficiarios</t>
  </si>
  <si>
    <t xml:space="preserve">OBJETIVO ESTRATEGICO </t>
  </si>
  <si>
    <t>Producto</t>
  </si>
  <si>
    <t>Indicador</t>
  </si>
  <si>
    <t>Medio de Verificación</t>
  </si>
  <si>
    <t xml:space="preserve">Meta Fisica </t>
  </si>
  <si>
    <t xml:space="preserve">Actividades </t>
  </si>
  <si>
    <t>TRIMESTRE 1</t>
  </si>
  <si>
    <t>TRIMESTRE 2</t>
  </si>
  <si>
    <t>TRIMESTRE 3</t>
  </si>
  <si>
    <t xml:space="preserve">TRIMESTRE 4 </t>
  </si>
  <si>
    <t>Presupuesto RD$</t>
  </si>
  <si>
    <t>Riesgos Asociados</t>
  </si>
  <si>
    <t>Unidad de Medida</t>
  </si>
  <si>
    <t>Cantidad</t>
  </si>
  <si>
    <t>Enero</t>
  </si>
  <si>
    <t>Febrero</t>
  </si>
  <si>
    <t>Marzo</t>
  </si>
  <si>
    <t>Abril</t>
  </si>
  <si>
    <t>Mayo</t>
  </si>
  <si>
    <t>Junio</t>
  </si>
  <si>
    <t>Julio</t>
  </si>
  <si>
    <t>Agosto</t>
  </si>
  <si>
    <t>Septiembre</t>
  </si>
  <si>
    <t>Octubre</t>
  </si>
  <si>
    <t>Noviembre</t>
  </si>
  <si>
    <t>Diciembre</t>
  </si>
  <si>
    <t>Porcentaje</t>
  </si>
  <si>
    <t>Sobre demanda de solicitudes / falta capacidad operativa</t>
  </si>
  <si>
    <t>Cantidad de informes visitas a las oficinas regionales</t>
  </si>
  <si>
    <t>Informes de visita</t>
  </si>
  <si>
    <t>Número de Hogares registrados en la Base de datos del SIUBEN</t>
  </si>
  <si>
    <t>Base de Datos del SIUBEN</t>
  </si>
  <si>
    <t>Hogares</t>
  </si>
  <si>
    <t>Falta disponibilidad fondos cooperación</t>
  </si>
  <si>
    <t>Número de Requerimientos de las regionales atendidos</t>
  </si>
  <si>
    <t>Solicitudes de requerimientos</t>
  </si>
  <si>
    <t>Regionales</t>
  </si>
  <si>
    <t xml:space="preserve">PRESUPUESTO </t>
  </si>
  <si>
    <t>Fuente de Financiamiento</t>
  </si>
  <si>
    <t xml:space="preserve">Insumos </t>
  </si>
  <si>
    <t xml:space="preserve">Objetal </t>
  </si>
  <si>
    <t xml:space="preserve">Unidad de medida </t>
  </si>
  <si>
    <t xml:space="preserve">Cantidad </t>
  </si>
  <si>
    <t>Costo Unitario RD$</t>
  </si>
  <si>
    <t xml:space="preserve">Observacion </t>
  </si>
  <si>
    <t>Presupuesto Nacional</t>
  </si>
  <si>
    <t>Head set</t>
  </si>
  <si>
    <t>2.3.9.2.01</t>
  </si>
  <si>
    <t>Televisor</t>
  </si>
  <si>
    <t>PARA EL MONITOREO DE LOS DASHBOARDS DE TODOS LOS LEVANTAMIENTOS Y OPERACIONES</t>
  </si>
  <si>
    <t>2.2.8.7.06</t>
  </si>
  <si>
    <t>Revisión y Control de Datos</t>
  </si>
  <si>
    <t>1.1- Crear el Registro Social Universal (RSU) y el Registro Único de Beneficiarios (RUB), enfocando sus funcionalidades a los requerimientos de información y análisis de las políticas sociales.</t>
  </si>
  <si>
    <t>Porcentaje de formularios revisados</t>
  </si>
  <si>
    <t>Informe de Revisión de la Data</t>
  </si>
  <si>
    <t>Fuga de talento humano y no disponibilidad de los datos a revisar</t>
  </si>
  <si>
    <t>Porcentaje de formularios Certificados</t>
  </si>
  <si>
    <t>Informe de Certificación de la Data</t>
  </si>
  <si>
    <t>Fuga de talento humano y no disponibilidad de los datos a certificar</t>
  </si>
  <si>
    <t xml:space="preserve">Porcentaje de cédulas corregidas </t>
  </si>
  <si>
    <t>Documento de requerimiento de actualización de dashboard elaborado</t>
  </si>
  <si>
    <t>Aplicativo</t>
  </si>
  <si>
    <t>No entrega a tiempo por parte de la Dir. De Tecnología</t>
  </si>
  <si>
    <t xml:space="preserve">Viáticos </t>
  </si>
  <si>
    <t>2.2.3.1.01</t>
  </si>
  <si>
    <t xml:space="preserve">dias </t>
  </si>
  <si>
    <t>*Horas extras (cena)</t>
  </si>
  <si>
    <t>Cartografía</t>
  </si>
  <si>
    <t>Implementación del Registro Social Universal de Hogares y del Registro Único de Beneficiarios.</t>
  </si>
  <si>
    <t>Crear el Registro Social Universal de Hogares y el Registro Único de Beneficiarios (RUB), enfocando sus funcionalidades a los requerimientos de información y análisis de las políticas sociales</t>
  </si>
  <si>
    <t>Número de manzanas actualizadas</t>
  </si>
  <si>
    <t>Capas Geográficas</t>
  </si>
  <si>
    <t>-</t>
  </si>
  <si>
    <t>Fallas  en software, hardware y aplicativo arcgis y google earth</t>
  </si>
  <si>
    <t xml:space="preserve">Número de manzanas verificadas y actualizadas en campo </t>
  </si>
  <si>
    <t>Informe con manzanas verificadas</t>
  </si>
  <si>
    <t xml:space="preserve">No disponibilidad presupuestaria </t>
  </si>
  <si>
    <t>Número de manzanas con cero viviendas verificadas</t>
  </si>
  <si>
    <t xml:space="preserve">Número de manzanas con cero viviendas verificadas y actualizadas en campo </t>
  </si>
  <si>
    <t>Informe con manzanas con cero viviendas verificadas</t>
  </si>
  <si>
    <t xml:space="preserve">Número de manzanas verificadas en google earth </t>
  </si>
  <si>
    <t>Manzanas verificadas</t>
  </si>
  <si>
    <t xml:space="preserve">Manzana </t>
  </si>
  <si>
    <t>Retrazo de entraga de la ONE para la verificacion de las vías y manzanas utilizando imágenes satelitales (Google Earth)</t>
  </si>
  <si>
    <t>Número de manzanas actualizadas de la cartografía de la ONE</t>
  </si>
  <si>
    <t xml:space="preserve">Análisis geoespaciales realizados </t>
  </si>
  <si>
    <t xml:space="preserve">Informe con el análisis geoespacial </t>
  </si>
  <si>
    <t xml:space="preserve">Fallas  en software, hardware y aplicativo arcgis </t>
  </si>
  <si>
    <t>Presupuesto  POA</t>
  </si>
  <si>
    <t>2.2.7.2.02</t>
  </si>
  <si>
    <t>cantidad</t>
  </si>
  <si>
    <t>Toner 125A-CB540A</t>
  </si>
  <si>
    <t>.</t>
  </si>
  <si>
    <t>Toner 125A-CB541A</t>
  </si>
  <si>
    <t>Toner 125A-CB542A</t>
  </si>
  <si>
    <t>Toner 125A-CB543A</t>
  </si>
  <si>
    <t>Papel Bond 36"x 500"</t>
  </si>
  <si>
    <t>Rollo</t>
  </si>
  <si>
    <t>Papel Bond 24"x 500"</t>
  </si>
  <si>
    <t>Papel Bond 11"x 17"</t>
  </si>
  <si>
    <t>Resma</t>
  </si>
  <si>
    <t>3WX25A Cartucho de tinta HP DesignJet 728 negro</t>
  </si>
  <si>
    <t>F9J65A Cartucho de tinta DesignJet HP 728 amarillo</t>
  </si>
  <si>
    <t xml:space="preserve">F9J66A Cartucho de tinta DesignJet HP 728 magenta </t>
  </si>
  <si>
    <t xml:space="preserve">F9J67A Cartucho de tinta DesignJet HP 728 cian </t>
  </si>
  <si>
    <t>2.6.1.3.01</t>
  </si>
  <si>
    <t xml:space="preserve">Viaticos </t>
  </si>
  <si>
    <t>dias</t>
  </si>
  <si>
    <t xml:space="preserve">Dirección Administrativa Financiera </t>
  </si>
  <si>
    <t>Gobernanza y fortalecimiento institucional</t>
  </si>
  <si>
    <t>Posicionar al SIUBEN como una entidad clave para la eficientización de la asignación del gasto público y de las políticas del sector social</t>
  </si>
  <si>
    <t>Porcentaje de cumplimiento de los mantemientos a infraestrucutra física descritos en el plan de mantenimiento, implementado en la sede central y oficinas regionales</t>
  </si>
  <si>
    <t>Bitácora de mantenimientos</t>
  </si>
  <si>
    <t xml:space="preserve">Falta de recursos finacieros </t>
  </si>
  <si>
    <t xml:space="preserve">Porcentaje de cumplimiento de los mantemientos a equipos descritos en el plan de mantenimiento, implementado en la Sede Central y oficinas Regionales  </t>
  </si>
  <si>
    <t xml:space="preserve">Porcentaje de cumplimiento de los mantemientos a flotilla vehicular descritos en el plan de mantenimiento, implementado en la Sede Central y oficinas Regionales  </t>
  </si>
  <si>
    <t>Porcentaje de inventarios de bienes suministros realizados</t>
  </si>
  <si>
    <t>Informe de inventario</t>
  </si>
  <si>
    <t>2.2 Posicionar al  SIUBEN  como una entidad clave para la eficientización de  la asignación del gasto público y de las políticas del sector social</t>
  </si>
  <si>
    <t>Pago viáticos</t>
  </si>
  <si>
    <t>Financiero</t>
  </si>
  <si>
    <t>Publicación en periódico</t>
  </si>
  <si>
    <t>2.2.2.1.01</t>
  </si>
  <si>
    <t>Servicio</t>
  </si>
  <si>
    <t>Compras</t>
  </si>
  <si>
    <t>Viáticos</t>
  </si>
  <si>
    <t>Unidad</t>
  </si>
  <si>
    <t>Administrativo</t>
  </si>
  <si>
    <t xml:space="preserve">Servicios de lavanderia </t>
  </si>
  <si>
    <t>2.2.8.5.02</t>
  </si>
  <si>
    <t>Mantenimiento de extintores</t>
  </si>
  <si>
    <t>2.2.9.9.01</t>
  </si>
  <si>
    <t>Cortinas venecianas</t>
  </si>
  <si>
    <t>unidad</t>
  </si>
  <si>
    <t>2.3.6.2.01</t>
  </si>
  <si>
    <t>Fumigación de Sede central y oficinas Regionales</t>
  </si>
  <si>
    <t>2.2.8.5.01</t>
  </si>
  <si>
    <t xml:space="preserve">Herramientas </t>
  </si>
  <si>
    <t>2.3.9.9.01</t>
  </si>
  <si>
    <t>unidades</t>
  </si>
  <si>
    <t>Pintura</t>
  </si>
  <si>
    <t>Mobiliario</t>
  </si>
  <si>
    <t>2.6.1.1.01</t>
  </si>
  <si>
    <t>Unidades</t>
  </si>
  <si>
    <t>Señalización</t>
  </si>
  <si>
    <t>Reparaciones menores</t>
  </si>
  <si>
    <t>2.2.7.2.01</t>
  </si>
  <si>
    <t>Aire acondicionado</t>
  </si>
  <si>
    <t xml:space="preserve">Pulido de Piso  y limpieza de alfombra </t>
  </si>
  <si>
    <t>Baterías vehículo</t>
  </si>
  <si>
    <t>2.2.7.2.06</t>
  </si>
  <si>
    <t>Gomas motor</t>
  </si>
  <si>
    <t>Gomas vehículo</t>
  </si>
  <si>
    <t>Accesorios vehículo</t>
  </si>
  <si>
    <t>Contratación de servicio de mantenimiento preventivo y correctivo de vehículos y motores</t>
  </si>
  <si>
    <t xml:space="preserve">Mantenimiento de generadores eléctricos </t>
  </si>
  <si>
    <t>Electrodomésticos</t>
  </si>
  <si>
    <t>2.6.1.4.01</t>
  </si>
  <si>
    <t>Mantenimiento banco de transformadores y sistema de tensión media</t>
  </si>
  <si>
    <t>Baterías inversor</t>
  </si>
  <si>
    <t>2.3.9.6.01</t>
  </si>
  <si>
    <t>Baterías planta eléctrica</t>
  </si>
  <si>
    <t>Mantenimiento de Aire Acondicionado</t>
  </si>
  <si>
    <t>Sistemas de alarma</t>
  </si>
  <si>
    <t>2.2.9.1.01</t>
  </si>
  <si>
    <t>Matarial Gastable</t>
  </si>
  <si>
    <t>2.3.9.9.02</t>
  </si>
  <si>
    <t>Matarial de limpieza</t>
  </si>
  <si>
    <t>2.3.9.1.01</t>
  </si>
  <si>
    <t>Utensilios cocina</t>
  </si>
  <si>
    <t>2.3.9.5.01</t>
  </si>
  <si>
    <t>2.3.7.1.01</t>
  </si>
  <si>
    <t>Banderas nacionales e Institucionales</t>
  </si>
  <si>
    <t>Agua para consumo Humano</t>
  </si>
  <si>
    <t>2.3.1.1.01</t>
  </si>
  <si>
    <t>2.3.2.3.01</t>
  </si>
  <si>
    <t>Alquiler Impresoras</t>
  </si>
  <si>
    <t>Sistema detección de humo</t>
  </si>
  <si>
    <t>Sistema detetección  de armas</t>
  </si>
  <si>
    <t>TOTAL</t>
  </si>
  <si>
    <t>Recursos Humanos</t>
  </si>
  <si>
    <t xml:space="preserve">EJE ESTRATÉGICO </t>
  </si>
  <si>
    <t>2- Gobernanza y Fortalecimiento Institucional</t>
  </si>
  <si>
    <t xml:space="preserve">OBJETIVO ESTRATÉGICO </t>
  </si>
  <si>
    <t>2.2 Posicionar al SIUBEN como una entidad clave para la eficientización de la asignación del gasto público y de las políticas del sector social</t>
  </si>
  <si>
    <t xml:space="preserve">Meta Física </t>
  </si>
  <si>
    <t>Plan elaborado</t>
  </si>
  <si>
    <t xml:space="preserve">Ejemplar del plan </t>
  </si>
  <si>
    <t>Disponibilidad de Recursos e Inasistencia del personal</t>
  </si>
  <si>
    <t xml:space="preserve">Porcentaje de ejecución del plan </t>
  </si>
  <si>
    <t>Informe trimestral de indicadores de capacitación</t>
  </si>
  <si>
    <t>Falta de respuesta oportuna</t>
  </si>
  <si>
    <t>Porcentaje de capacitaciones evaluadas correspondientes al periodo</t>
  </si>
  <si>
    <t>Informe trimestral</t>
  </si>
  <si>
    <t>Programa de capacitación diseñado</t>
  </si>
  <si>
    <t>Programa de capacitacion levantamiento FIBE implementado</t>
  </si>
  <si>
    <t xml:space="preserve">Falta de presupuesto para la ejecución del proyecto </t>
  </si>
  <si>
    <t>Proceso de implementación establecido</t>
  </si>
  <si>
    <t>Proveedor contratado</t>
  </si>
  <si>
    <t>Falta de tiempo por parte del personal de RRHH, puede estar en otros proyectos al mismo tiempo</t>
  </si>
  <si>
    <t>Piloto de la plataforma realizado</t>
  </si>
  <si>
    <t>Capacitación ejecutada</t>
  </si>
  <si>
    <t>Porcentaje de ejecución del plan de ación de las áreas</t>
  </si>
  <si>
    <t>Informe de encuesta de clima</t>
  </si>
  <si>
    <t xml:space="preserve">El MAP no esta disponible para asesoría debido a la alta demanda por el cambio de gobierno </t>
  </si>
  <si>
    <t xml:space="preserve">Encuesta de clima realizada </t>
  </si>
  <si>
    <t>Encuesta de clima aplicada</t>
  </si>
  <si>
    <t xml:space="preserve">Disponiblidad prespuestaria para implementar las mejoras </t>
  </si>
  <si>
    <t>Porcentaje de colaboradores con acuerdos de desempeño realizados</t>
  </si>
  <si>
    <t>Matriz de acuerdos realizados por área</t>
  </si>
  <si>
    <t xml:space="preserve">Falta de presupeusto </t>
  </si>
  <si>
    <t>Porcentaje de nuevos colaboradores y cambios de designaciones con acuerdos de desempeño realizado</t>
  </si>
  <si>
    <t xml:space="preserve">Porcentaje de colaboradores evaluados </t>
  </si>
  <si>
    <t>Informe de resultados de evaluación de desempeño</t>
  </si>
  <si>
    <t>Pocentaje de reconocimientos realizados entre los reconocimientos programados</t>
  </si>
  <si>
    <t>Listado de reconocidos</t>
  </si>
  <si>
    <t xml:space="preserve">Jornadas de Salud realizadas </t>
  </si>
  <si>
    <t>Invitación a las jornadas</t>
  </si>
  <si>
    <t xml:space="preserve">Encuesta de discriminación y acoso aplicada </t>
  </si>
  <si>
    <t xml:space="preserve">Informe con resultados de la encuesta </t>
  </si>
  <si>
    <t>Resistencia de los empleados
Falta de seguimiento y acción</t>
  </si>
  <si>
    <t>Análisis de brecha salarial y plan de acción revisados y actualizados</t>
  </si>
  <si>
    <t xml:space="preserve">Análisis y plan actualizados </t>
  </si>
  <si>
    <t xml:space="preserve">Complejidad de las soluciones </t>
  </si>
  <si>
    <t xml:space="preserve">TOTAL PRESUPUESTADO </t>
  </si>
  <si>
    <t xml:space="preserve">DEPARTAMENTO DE PLANIFICACIÓN Y DESARROLLO </t>
  </si>
  <si>
    <t xml:space="preserve">Costo Unitario </t>
  </si>
  <si>
    <t xml:space="preserve">Observación </t>
  </si>
  <si>
    <t>Servicios de capacitación</t>
  </si>
  <si>
    <t>2.2.8.7.04</t>
  </si>
  <si>
    <t>Varias</t>
  </si>
  <si>
    <t>Según plan</t>
  </si>
  <si>
    <t>Refrigerios y almuerzos</t>
  </si>
  <si>
    <t>2.2.9.2.01</t>
  </si>
  <si>
    <t xml:space="preserve">Refrigerio </t>
  </si>
  <si>
    <t>Incentivo por rendimiento individual</t>
  </si>
  <si>
    <t>2.1.2.2.06</t>
  </si>
  <si>
    <t>Pesos</t>
  </si>
  <si>
    <t>Premios a los colaboradores reconocidos</t>
  </si>
  <si>
    <t xml:space="preserve">Unidad </t>
  </si>
  <si>
    <t>Pines</t>
  </si>
  <si>
    <t>Refrigerio</t>
  </si>
  <si>
    <t>Placas de reconocimiento</t>
  </si>
  <si>
    <t>Insumos varios según la jornada</t>
  </si>
  <si>
    <t>N/A</t>
  </si>
  <si>
    <t>Kit cuidado personal</t>
  </si>
  <si>
    <t>Bultos</t>
  </si>
  <si>
    <t>2.3.1.3.03</t>
  </si>
  <si>
    <t>Servicios de impresión</t>
  </si>
  <si>
    <t>2.2.2.2.01</t>
  </si>
  <si>
    <t xml:space="preserve">Decoración de stand de fotos </t>
  </si>
  <si>
    <t>silla playera</t>
  </si>
  <si>
    <t xml:space="preserve">Picadera </t>
  </si>
  <si>
    <t xml:space="preserve">Decoración  </t>
  </si>
  <si>
    <t xml:space="preserve">Almuerzo </t>
  </si>
  <si>
    <t>Materiales para actividades</t>
  </si>
  <si>
    <t xml:space="preserve">Uniforme   </t>
  </si>
  <si>
    <t xml:space="preserve">Desayuno </t>
  </si>
  <si>
    <t xml:space="preserve">Empacado </t>
  </si>
  <si>
    <t xml:space="preserve">Chocolate </t>
  </si>
  <si>
    <t>Gastos recurrentes de Recursos Humanos</t>
  </si>
  <si>
    <t xml:space="preserve">Partida presupuestaria </t>
  </si>
  <si>
    <t xml:space="preserve">Arreglos florales en caso de fallecimiento de familiares directos, hospitalizacion y ofrendas </t>
  </si>
  <si>
    <t>Según necesidad</t>
  </si>
  <si>
    <t>Decoraciones para cumpleaños y otras actividades</t>
  </si>
  <si>
    <t>varios</t>
  </si>
  <si>
    <t>Servicios de impresion de carnets</t>
  </si>
  <si>
    <t>sujetador para carnets (yoyos y cintas)</t>
  </si>
  <si>
    <t>portacarnets</t>
  </si>
  <si>
    <t>2.3.5.5.01</t>
  </si>
  <si>
    <t>Pruebas psicométricas</t>
  </si>
  <si>
    <t xml:space="preserve">Seguro de Vida para todo el personal </t>
  </si>
  <si>
    <t>2.2.6.3.01</t>
  </si>
  <si>
    <t>Planes Complementarios para los colaboradores (senasa)</t>
  </si>
  <si>
    <t>Planes Complementarios para los colaboradores (humano)</t>
  </si>
  <si>
    <t>Almuerzos subsidiados</t>
  </si>
  <si>
    <t>TOTAL  PRESUPUESTADO</t>
  </si>
  <si>
    <t>DIRECCIÓN</t>
  </si>
  <si>
    <t xml:space="preserve">Planificación y Desarrollo </t>
  </si>
  <si>
    <t xml:space="preserve">Observaciones </t>
  </si>
  <si>
    <t>Plan Operativo elaborado</t>
  </si>
  <si>
    <t>Matriz de Plan Operativo</t>
  </si>
  <si>
    <t xml:space="preserve">Memoria elaborada </t>
  </si>
  <si>
    <t>Memoria Institucional</t>
  </si>
  <si>
    <t xml:space="preserve">Informes realizados </t>
  </si>
  <si>
    <t xml:space="preserve">Informes de Desempeño Institucional y de Proyectos de Cooperación elaborados </t>
  </si>
  <si>
    <t xml:space="preserve">Listado de asistencia y fotos </t>
  </si>
  <si>
    <t>Plan Estratégico elaborado</t>
  </si>
  <si>
    <t xml:space="preserve">Plan Estratégico Institucional </t>
  </si>
  <si>
    <t>No aprobación del PEI</t>
  </si>
  <si>
    <t xml:space="preserve">Número de informes de igualdad de género realizados </t>
  </si>
  <si>
    <t>Informes de igualdad de género</t>
  </si>
  <si>
    <t xml:space="preserve">Imagenes y certificado de las ganadoras y los ganadores </t>
  </si>
  <si>
    <t xml:space="preserve">Número de actividades para promover la igualdad de género realizadas </t>
  </si>
  <si>
    <t>Carta de Acuerdo, documento de proyecto, minutas de reuniones</t>
  </si>
  <si>
    <t xml:space="preserve">Número de talleres con enfoque de género realizados </t>
  </si>
  <si>
    <t>Reunión para promover las acciones de igualdad de género a la sociedad civil realizada</t>
  </si>
  <si>
    <t>Convocatorias y listado de participantes</t>
  </si>
  <si>
    <t xml:space="preserve">Número de documentos vinculados a la igualdad de género revisados y actualizados </t>
  </si>
  <si>
    <t>Política de Igualdad de Género
Protocolo de Actuación en Caso de Violencia, Discriminación o Acoso 
Manual de Conciliación de la Vida Personal y Laboral</t>
  </si>
  <si>
    <t>Número de eventos de socialización realizados</t>
  </si>
  <si>
    <t>Listado de participantes y fotos de la actividad</t>
  </si>
  <si>
    <t xml:space="preserve">Informes de cooperación internacional realizados </t>
  </si>
  <si>
    <t>Informe de seguimiento a la cooperación</t>
  </si>
  <si>
    <t>Plan Operativo de cooperación elaborado</t>
  </si>
  <si>
    <t xml:space="preserve">Plan Operativo de Cooperación Internacional </t>
  </si>
  <si>
    <t xml:space="preserve">Informes de relaciones interinstitucionales realizados </t>
  </si>
  <si>
    <t xml:space="preserve">Documento con el informe </t>
  </si>
  <si>
    <t xml:space="preserve">Porcentaje de actualización de la plataforma de gestión del conocimiento </t>
  </si>
  <si>
    <t>Imagenes de la plataforma actualizada</t>
  </si>
  <si>
    <t xml:space="preserve">Porcentaje </t>
  </si>
  <si>
    <t xml:space="preserve">Cantidad de capsulas de gestión del conocimiento compartidas </t>
  </si>
  <si>
    <t xml:space="preserve">Correos de comunicación interna </t>
  </si>
  <si>
    <t xml:space="preserve">Análisis de la Información Socieconómica </t>
  </si>
  <si>
    <t>1. Implementación del registro universal de hogares y el registro único de beneficiarios</t>
  </si>
  <si>
    <t>1.1 Crear el Registro Social Universal (RSU) y el Registro Único de Beneficiarios (RUB), enfocando sus funcionalidades a los requerimientos de información y análisis de las políticas sociales nacional y local.</t>
  </si>
  <si>
    <t>Presupuesto POA RD$</t>
  </si>
  <si>
    <t>Persona</t>
  </si>
  <si>
    <t>Almuerzo</t>
  </si>
  <si>
    <t xml:space="preserve">Estación líquida </t>
  </si>
  <si>
    <t>Alquiler de Salón para capacitación</t>
  </si>
  <si>
    <t>Transporte</t>
  </si>
  <si>
    <t>2.2.4.1.01</t>
  </si>
  <si>
    <t>Reconocimientos impresos y enmarcados</t>
  </si>
  <si>
    <t>Alquiler de salón</t>
  </si>
  <si>
    <t>Porcentaje de Implementación del DataWareHouse</t>
  </si>
  <si>
    <t xml:space="preserve">Data Warehouse </t>
  </si>
  <si>
    <t xml:space="preserve">Porcentaje de implementación de la Plataforma para el intercambio </t>
  </si>
  <si>
    <t>Plataforma Operando</t>
  </si>
  <si>
    <t xml:space="preserve">Portal operando </t>
  </si>
  <si>
    <t>Porcentaje de implementación del Aplicativo APK de Levantamiento Ficha FIBE</t>
  </si>
  <si>
    <t xml:space="preserve">Aplicativo APK de Levantamiento Ficha FIBE Operando </t>
  </si>
  <si>
    <t>Porcentaje de implementacion de Plataforma Educativa de la Ficha Básica de Emergencia</t>
  </si>
  <si>
    <t>Plataforma Educativa de la Ficha Básica de Emergencia Operando</t>
  </si>
  <si>
    <t>Número de Procesos automatizados</t>
  </si>
  <si>
    <t>Procesos automatizados Operando</t>
  </si>
  <si>
    <t>Porcentaje de Ejecución del Cronograma de Mantenimiento Preventivo de Equipos</t>
  </si>
  <si>
    <t xml:space="preserve">Informe de Ejecución Mantenimiento </t>
  </si>
  <si>
    <t xml:space="preserve">Porcentaje de equipos tecnologicos instalados en las regionales </t>
  </si>
  <si>
    <t>Informe de Instalación</t>
  </si>
  <si>
    <t>Porcentaje de ejecución del cronograma Mantenimiento de Centro de Datos</t>
  </si>
  <si>
    <t>Orden de Compras de los Servicios solicitados</t>
  </si>
  <si>
    <t>Porcentaje de ejecución de la seguridad perimetal</t>
  </si>
  <si>
    <t xml:space="preserve">Porcentaje de ejecución del Fortalecimiento de las redes y comunicaciones </t>
  </si>
  <si>
    <t xml:space="preserve">Número de Recertificaciones obtenidas </t>
  </si>
  <si>
    <t>A3</t>
  </si>
  <si>
    <t>A4</t>
  </si>
  <si>
    <t>A5</t>
  </si>
  <si>
    <t>Implementada la interoperabilidad con SNS, CORASAN y otras</t>
  </si>
  <si>
    <t xml:space="preserve">Entidades incoporadas </t>
  </si>
  <si>
    <t>Plataforma de identidad digital Operando</t>
  </si>
  <si>
    <t>Dashboards del proyecto Funcionando</t>
  </si>
  <si>
    <t>Sistema para el levantamiento de ESH operando</t>
  </si>
  <si>
    <t>BID</t>
  </si>
  <si>
    <t>Servidores para infraestructura de explotación con su licencia de Windows</t>
  </si>
  <si>
    <t xml:space="preserve">Contratación de consultaria para Desarrollar e implementar Portal de Información de Proteccion social </t>
  </si>
  <si>
    <t>Contratación de consultaria para Desarrollar e implementar un Aplicativo APK para levantamiento Ficha FIBE</t>
  </si>
  <si>
    <t>Solicitd</t>
  </si>
  <si>
    <t xml:space="preserve">Presupuesto Nacional </t>
  </si>
  <si>
    <t>Carrito de carga tipo Yegua 3 posiciones</t>
  </si>
  <si>
    <t>Escalera 4 escalones</t>
  </si>
  <si>
    <t>Latas de limpiadores de contacto</t>
  </si>
  <si>
    <t>Latas de limpiador de pantalla</t>
  </si>
  <si>
    <t>Discos duros SDD 2.5 / 512GB</t>
  </si>
  <si>
    <t>Discos duros SDD 2TB</t>
  </si>
  <si>
    <t>Patch cord categoria 6, 7 pies</t>
  </si>
  <si>
    <t>Cabezales de Red RJ45 Categoria 6</t>
  </si>
  <si>
    <t>Paquete</t>
  </si>
  <si>
    <t>Kit de Red</t>
  </si>
  <si>
    <t>Baterias de UPS</t>
  </si>
  <si>
    <t>Projector 4K</t>
  </si>
  <si>
    <t>Computadoras</t>
  </si>
  <si>
    <t>UPS</t>
  </si>
  <si>
    <t>Telefonos IP</t>
  </si>
  <si>
    <t>Laptops</t>
  </si>
  <si>
    <t>Laptop alta prestaciones</t>
  </si>
  <si>
    <t>Bases para CPU y UPS</t>
  </si>
  <si>
    <t>Monitores 24 Pulgs</t>
  </si>
  <si>
    <t>Consultoría para diseño de herramienta de mesa de servicios TI acorde a las mejores practica de Información Technology Infraestructura Library ( ITIL)- mantenimiento preventivo</t>
  </si>
  <si>
    <t xml:space="preserve">Contratación de Servicios mantenimientos Sistema de Tierra y Pararrayos </t>
  </si>
  <si>
    <t>Contratación de Servicios de Soporte y Garantia Enlace radio frecuencia (SIUBEN - Gabinete)</t>
  </si>
  <si>
    <t>10 Renocación de Licencias Firewall   (1 año)</t>
  </si>
  <si>
    <t>Extensión de Garantia de los Servidores (SAN, BLADE) (1 año)</t>
  </si>
  <si>
    <t>Adobe Creative Cloud (Renovación)</t>
  </si>
  <si>
    <t>Renovación del Certificado DIGECERT Servicios Web (2año)</t>
  </si>
  <si>
    <t>2.2.5.9.01</t>
  </si>
  <si>
    <t>WAF - Firewall para aplicaciones WEB y APIs (FortiWEB 1000G)</t>
  </si>
  <si>
    <t>Switch Cisco 9300 o Superior</t>
  </si>
  <si>
    <t>Renovación Licencia de Veem Backup and Replicatión con entrenamiento y certificación.</t>
  </si>
  <si>
    <t>Sistema de administración de Red (FMG-200G)</t>
  </si>
  <si>
    <t>Switch para servidores – (N9K-C93180YC-FX) con entrenamiento y certificación</t>
  </si>
  <si>
    <t>Renovación del cableado edificio principal</t>
  </si>
  <si>
    <t>Switch Small Business 48 Port PoE Velocidad 10/100/1000</t>
  </si>
  <si>
    <t>Banco Mundial</t>
  </si>
  <si>
    <t>Contratación de Consultoria, para el desarrollo e implementación de Dashboard de migrantes</t>
  </si>
  <si>
    <t>Consultoría para el rediseño y mantenimiento del Aplicativo Móvil</t>
  </si>
  <si>
    <t>Comunicaciones</t>
  </si>
  <si>
    <t>RESULTADO ESTRATEGICO</t>
  </si>
  <si>
    <t>Fortalecimiento de la Imagen y Reconocimiento del SIUBEN como Actor Central en la Eficientización de la Asignación del Gasto Público y Políticas del Sector Social</t>
  </si>
  <si>
    <t>Estrategia</t>
  </si>
  <si>
    <t>Resultado Esperado</t>
  </si>
  <si>
    <t xml:space="preserve">Porcentaje de notas de prensa difundidas </t>
  </si>
  <si>
    <t>Ejemplar de notas de prensa, confirmación de envío y publicación en portal web, medios y rrss e Informe de prensa</t>
  </si>
  <si>
    <t xml:space="preserve">Porcentaje de seminarios SIUBEN+ apoyados </t>
  </si>
  <si>
    <t xml:space="preserve">Correos de seguimiento/Invitación de seminarios diseñada/correos de envio invitación/listado de asistencia/fotos o videos del seminario </t>
  </si>
  <si>
    <t xml:space="preserve">Número de encuentros con periodistas realizados </t>
  </si>
  <si>
    <t>Correos de solicitudes/Invitación de los encuentros/fotos de los encuentros</t>
  </si>
  <si>
    <t xml:space="preserve">Número de videos producidos </t>
  </si>
  <si>
    <t xml:space="preserve">Links de los videos publicados </t>
  </si>
  <si>
    <t>Porcentaje de actividades de la dirección general coordinadas</t>
  </si>
  <si>
    <t>Solicitudes vía correo/correos de solicitudes de insumos/fotos de los eventos</t>
  </si>
  <si>
    <t xml:space="preserve">Porcentaje de efemerides difundidas </t>
  </si>
  <si>
    <t xml:space="preserve">Artes de las efemerides diseñadas/links de las publicaciones </t>
  </si>
  <si>
    <t xml:space="preserve">Porcentaje de materiales digitales producidos </t>
  </si>
  <si>
    <t xml:space="preserve">Correos de las solicitudes/artes diseñados/links de las publicaciones </t>
  </si>
  <si>
    <t xml:space="preserve">Número de comunicaciones sobre Igualdad de Género y Derechos de la Mujer difundidas </t>
  </si>
  <si>
    <t>Artes y links de las publicaciones realizadas</t>
  </si>
  <si>
    <t xml:space="preserve">Número actualizaciones realidas a los murales institucionales </t>
  </si>
  <si>
    <t xml:space="preserve">Fotos de la colocación de los murales </t>
  </si>
  <si>
    <t xml:space="preserve">Número de boletines de noticias publicados </t>
  </si>
  <si>
    <t>Correos de las solicitudes de insumos/pdf del boletin/link de la publicación</t>
  </si>
  <si>
    <t xml:space="preserve">Porcentaje de publicaciones internas producidas </t>
  </si>
  <si>
    <t>Correos de solicitudes/envios de artes</t>
  </si>
  <si>
    <t xml:space="preserve">Porcentaje de eventos interinstitucionales coordinados </t>
  </si>
  <si>
    <t xml:space="preserve">Correos de solicitudes/Fotos de los convenios </t>
  </si>
  <si>
    <t xml:space="preserve">Porcentaje de implementación del Plan de Comunicaciones </t>
  </si>
  <si>
    <t>PLAN OPERATIVO ANUAL 2023</t>
  </si>
  <si>
    <t xml:space="preserve">Comunicaciones </t>
  </si>
  <si>
    <t>Hotel, refrigerio</t>
  </si>
  <si>
    <t>Impresos</t>
  </si>
  <si>
    <t>Kit Stand para celular. Tripode.</t>
  </si>
  <si>
    <t xml:space="preserve">Aros de luz grande. </t>
  </si>
  <si>
    <t xml:space="preserve">Gimbal (estabilizador) para celular. </t>
  </si>
  <si>
    <t>Led Neewer NL480 (Luz led)</t>
  </si>
  <si>
    <t xml:space="preserve">Microfono (Duo) Hollyland Lark C1 (Lavalier inalambrico). </t>
  </si>
  <si>
    <t>Víaticos</t>
  </si>
  <si>
    <t xml:space="preserve">Shutterstock - Suscripción descarga de imágenes </t>
  </si>
  <si>
    <t>Canva Pro para equipos - Suscripción diseño digital</t>
  </si>
  <si>
    <t xml:space="preserve">Flat Icon - Suscripcion </t>
  </si>
  <si>
    <t>Doodly - Ilustraciones en video</t>
  </si>
  <si>
    <t>ISSUU - Suscripción publicaciones editoriales</t>
  </si>
  <si>
    <t>Cartulinas</t>
  </si>
  <si>
    <t>Adornos variados para días conmemorativos (carnaval/navidad/san valentin)</t>
  </si>
  <si>
    <t xml:space="preserve">Estuches </t>
  </si>
  <si>
    <t xml:space="preserve">Marcadores varios </t>
  </si>
  <si>
    <t>Cajas</t>
  </si>
  <si>
    <t>Papel bond satinado</t>
  </si>
  <si>
    <t>Resmas</t>
  </si>
  <si>
    <t>Crayones</t>
  </si>
  <si>
    <t xml:space="preserve">Cinta decorativa varias </t>
  </si>
  <si>
    <t>Yardas</t>
  </si>
  <si>
    <t>Cartonite</t>
  </si>
  <si>
    <t>Opalina</t>
  </si>
  <si>
    <t>Foami</t>
  </si>
  <si>
    <t>Tape doble cara</t>
  </si>
  <si>
    <t>Velas de silicón</t>
  </si>
  <si>
    <t xml:space="preserve">Pistola de silicón </t>
  </si>
  <si>
    <t xml:space="preserve">Tachuelas para murales </t>
  </si>
  <si>
    <t>Caja</t>
  </si>
  <si>
    <t>Impresión digital</t>
  </si>
  <si>
    <t xml:space="preserve">Actividad </t>
  </si>
  <si>
    <t xml:space="preserve">Microfono inalámbrico de mano Xtuga
</t>
  </si>
  <si>
    <t xml:space="preserve">Jaula universal para celular (SmallRig)Phone Cage (2791). 
</t>
  </si>
  <si>
    <t xml:space="preserve">Mango lateral pequeño SmallRig
</t>
  </si>
  <si>
    <t>Audifonos para celular.</t>
  </si>
  <si>
    <t>Folders de bolsillo</t>
  </si>
  <si>
    <t>Bolsas de papel</t>
  </si>
  <si>
    <t xml:space="preserve">Brochures </t>
  </si>
  <si>
    <t xml:space="preserve">Afiches </t>
  </si>
  <si>
    <t xml:space="preserve">Banner </t>
  </si>
  <si>
    <t>Libretas ecologicas</t>
  </si>
  <si>
    <t>Libretas de notas</t>
  </si>
  <si>
    <t>Lapiceros</t>
  </si>
  <si>
    <t>Termos</t>
  </si>
  <si>
    <t>Materiales varios decoración</t>
  </si>
  <si>
    <t>Volante de levantamiento</t>
  </si>
  <si>
    <t>Presupuesto Total RD$</t>
  </si>
  <si>
    <t>Operaciones</t>
  </si>
  <si>
    <t>1.1 Crear el registro social universal (RSU) y el registro único de beneficiarios (RUB), enfocando sus funcionalidades a los requerimientos de información y análisis de las políticas sociales nacional y local</t>
  </si>
  <si>
    <t>persona</t>
  </si>
  <si>
    <t xml:space="preserve">Revisión y Control del Dato </t>
  </si>
  <si>
    <t>Presupuesto Nacional POA asignado</t>
  </si>
  <si>
    <t>Número de informes financieros entregados a tiempo</t>
  </si>
  <si>
    <t>Balance general, nóminas pagadas a colaboradores, ejecución presupuestaria, nota de no donaciones a terceros, inventario de almacén trimestral, relación de cuentas por pagar</t>
  </si>
  <si>
    <t>Número de arqueos realizados</t>
  </si>
  <si>
    <t>Arqueos, informes de visitas</t>
  </si>
  <si>
    <t xml:space="preserve">Falta de vehículo </t>
  </si>
  <si>
    <t>Porcentaje de implementación de PACC</t>
  </si>
  <si>
    <t xml:space="preserve">Informe de procesos publicados  y contratados por trimestre </t>
  </si>
  <si>
    <t>Incumplimiento en las metas institucionales</t>
  </si>
  <si>
    <t>Calidad en la Gestión (SGI)</t>
  </si>
  <si>
    <t>Eje Estrategico 2: Gobernanza y Fortalecimiento Institucional</t>
  </si>
  <si>
    <t>Fortalecer el Marco legal, normativo y funcional del SIUBEN</t>
  </si>
  <si>
    <t>Número de auditorías realizadas</t>
  </si>
  <si>
    <t>Informe de Auditoría Externa</t>
  </si>
  <si>
    <t xml:space="preserve">Cambio de fecha planificada por disposición de la Alta Dirección
 No Disponibilidad de Fondos
</t>
  </si>
  <si>
    <t>Informe de Auditoría Interna</t>
  </si>
  <si>
    <t xml:space="preserve">Porcentaje de implementación del plan de acción </t>
  </si>
  <si>
    <t xml:space="preserve">1- Reporte de Control y Seguimiento de Acciones Correctivas 
2- Formulario Solicitud de Acción Correctiva </t>
  </si>
  <si>
    <t>Respuesta tardía de las áreas con hallazgos de auditoría</t>
  </si>
  <si>
    <t xml:space="preserve">Número de jordanas de evaluaciones realizadas </t>
  </si>
  <si>
    <t>Matríz de seguimiento de riesgos y oportunidades de los procesos</t>
  </si>
  <si>
    <t>No disponibilidad de los involucrados en las áreas para realizar las evaluaciones</t>
  </si>
  <si>
    <t>Número de jordanas de evaluaciones realizadas</t>
  </si>
  <si>
    <t>Matríz de seguimiento de riesgos de los activos de información</t>
  </si>
  <si>
    <t xml:space="preserve">Autodiagnóstico realizado </t>
  </si>
  <si>
    <t>Guía de Autodiagnóstico CAF</t>
  </si>
  <si>
    <t> </t>
  </si>
  <si>
    <t>Retraso en la autoevaluación de los departamentos involucrados</t>
  </si>
  <si>
    <t xml:space="preserve">Plan de Mejora elaborado </t>
  </si>
  <si>
    <t>Plan de mejora del CAF</t>
  </si>
  <si>
    <t>Retraso en los reportes del plan de los departamentos involucrados</t>
  </si>
  <si>
    <t>Porcentaje de Documentos actualizados/ creados</t>
  </si>
  <si>
    <t>Solicitud de creaccion y/o actualización de documentos</t>
  </si>
  <si>
    <t>Retraso en la publicación y distribución de los documentos del sistema</t>
  </si>
  <si>
    <t>Prueba de escritorio y funcional del Plan de Continuidad de Negocio</t>
  </si>
  <si>
    <t>Informe de pruebas con los resultados (recomendaciones para implementar mejoras)</t>
  </si>
  <si>
    <t>Porcentaje
Camtidad</t>
  </si>
  <si>
    <t>No disponibilidad del personal involucrado</t>
  </si>
  <si>
    <t>Cantidad de requerimientos en el plazo establecido</t>
  </si>
  <si>
    <t>Informe trimestral de avances de indicadores del sistema de gestión</t>
  </si>
  <si>
    <t>Retraso en la elaboración del informe trimestral de avances de indicadores del sistema de gestión</t>
  </si>
  <si>
    <t>Porcentaje de implementación de la encuesta de satisfacción</t>
  </si>
  <si>
    <t>Informe de la Encuesta MAP</t>
  </si>
  <si>
    <t>Encuestas no completadas en el tiempo estipulado</t>
  </si>
  <si>
    <t>Porcentaje obtenido en la evaluación de la CCC</t>
  </si>
  <si>
    <t>Informe de Evaluación annual de la Carta Compromiso</t>
  </si>
  <si>
    <t>No poder realizar la evaluación dentro del tiempo establecido</t>
  </si>
  <si>
    <t>Cantidad de capacitación ejecutadas</t>
  </si>
  <si>
    <t>Listado de asistencia a capacitación
Certificado de participación</t>
  </si>
  <si>
    <t xml:space="preserve"> No Disponibilidad de Fondos</t>
  </si>
  <si>
    <t>Hamlet Durán</t>
  </si>
  <si>
    <t>Jefrey Lizardo Ortiz</t>
  </si>
  <si>
    <t>Director General</t>
  </si>
  <si>
    <t xml:space="preserve">Eje Estrategico 2: Gobernanza y Fortalecimiento Institucional </t>
  </si>
  <si>
    <t>Objetal</t>
  </si>
  <si>
    <t>Servicios Técnicos</t>
  </si>
  <si>
    <t>Viáticos
Hospedaje</t>
  </si>
  <si>
    <t>Plan de Capacitación RRHH</t>
  </si>
  <si>
    <t>Capacitación</t>
  </si>
  <si>
    <t xml:space="preserve">TOTAL </t>
  </si>
  <si>
    <t>Encargado de Planificación y Desarrollo</t>
  </si>
  <si>
    <t>Este monto se reservo en el objetal 228706 de Otros servicios tecnicos profesionales, a fin de hacer modificación presupuestaria en caso de que se requiera.</t>
  </si>
  <si>
    <t>Porcentaje de inventario repuesto en el tiempo programado</t>
  </si>
  <si>
    <t> Órdenes de compra/contratos</t>
  </si>
  <si>
    <t> Porcentaje</t>
  </si>
  <si>
    <t> 90%</t>
  </si>
  <si>
    <t>procentaje de procesos de contratación de servicios ejecutados en el plazo programado</t>
  </si>
  <si>
    <t> Porcentaje de cumplimiento del plan de trabajo del Comité de Salud y Seguridad en el Trabajo</t>
  </si>
  <si>
    <t> Informes</t>
  </si>
  <si>
    <t>Falta de envio de insumos (por ejemplo las BD y del diccionario de variable desde las otras instituciones) tal y como especificado en los convenios y falta de seguimiento a los acuerdos por parte de otras instituciones.</t>
  </si>
  <si>
    <t>2.1 Acompañar los diferentes departamentos de la institución en los procesos de levantamiento e investigacion.
2.2 Realizar piloto interno y externo para cada proceso de levantamiento de informacion y para cada puerta de entrada. 
2.3 Revisar la base de datos en crudo y analizar la consistencia de los datos con distintas herramientas.
2.4 Conformar documento final con hallazgos encontrados.</t>
  </si>
  <si>
    <t>Tiempo de levantamiento demasiado cortos para el diseño de la herramientas, capacitaciones, y levantamientos. 
Falta de piloto interno, falta de piloto externo.
Considerar que solo podemos analizar los datos que nos llega en tiempos prudentes.</t>
  </si>
  <si>
    <t>Este producto se realiza en coordinación con las otras areas de la institución (no directamente relacionados con la institucion ej levantamiento de uniones tempranas).</t>
  </si>
  <si>
    <t>Número de capacitaciones realizadas.</t>
  </si>
  <si>
    <t>3.1 Crear calendario de capacitaciones.
3.2 Preparar el contenido a presentar en los distintos talleres.
3.3 Realizar jornada internas de capacitación y cargar el contenido de las evidencias.</t>
  </si>
  <si>
    <t>Indices aun no listo para desarrollar las capacitaciones.</t>
  </si>
  <si>
    <t>Dinero reservado para refrigerios y materiales. 
Coordinar con el departamento de administracion y finanza.</t>
  </si>
  <si>
    <t>Documentos metodologicos
(documento guia)</t>
  </si>
  <si>
    <t>4.1 Definir los objectivos de los levantamientos de información para nuevas herramientas.
4.2 Crear documentos guias para cada una de las puertas de entrada si aun no presentes.
4.3 Revisión periodica de los datos recolectados.  Análisis de las bases de datos de los pilotos internos y/o externos. Reportes de incidencias y correcciones aplicadas.
4.4 Analizar los datos post pilotos.
4.5 Redactar el informe de los procesos.</t>
  </si>
  <si>
    <t>Falta de coordinacion entre las diferentes areas y falta de entrega de informaciones.
Riesgo de abrir nuevas puertas de entrada sin seguir los procedimientos correctos.</t>
  </si>
  <si>
    <t>Notas tecnicas realizadas.</t>
  </si>
  <si>
    <t xml:space="preserve">Ejemplar de documento </t>
  </si>
  <si>
    <t>5.1 Realizar reuniones con actores/sectores de intéres.
5.2 Decidir los temas a tratar en el resumen de políticas
5.3 Revisar la bibliográfia.
5.4 Redactar del resumen de políticas.
5.5 Realizar plan de comunicación en conjunto con el departamento de comunicación para la socialización de los resultados de estos etregables.</t>
  </si>
  <si>
    <t>Falta de interes de los posibles destinatarios de estos informes.
Falta de tiempo para poder realizar bien esta tarea.</t>
  </si>
  <si>
    <t xml:space="preserve">6. Investigaciones en áreas estratégicas relacionadas con el trabajo en PP y en programas clave de protección social con transversalización de género y enfoque interseccional. </t>
  </si>
  <si>
    <t>Número de investigaciones realizadas.</t>
  </si>
  <si>
    <t>Investigaciones realizadas</t>
  </si>
  <si>
    <t>6.1 Averiguar posibilidad de asesores y realizar reuniones para explorar el tema a investigar
6.2 Decidir de los temas a tratar en la investigación
6.3 Revisar bibliográfica
6.4 Redactar la investigación y revision.
6.5 Conformar ejemplar del documento</t>
  </si>
  <si>
    <t>Este producto se pone si y solo si hay asesores que se han contratados y que pueden trabajar borrador. (Paper de investigación).
Fondos BID?</t>
  </si>
  <si>
    <t>Número de capacitaciones realizadas</t>
  </si>
  <si>
    <t>Listado de participantes,
Programa del taller o capacitaciones, fotos.</t>
  </si>
  <si>
    <t>Capacitaciones</t>
  </si>
  <si>
    <t>7.1 Identificar necesidades, socios y objetivos de las capacitaciones.
7.2. Elaborar calendario de las capacitaciones o talleres y definir contenido. 
7.3. Realizar jornadas de capacitación.</t>
  </si>
  <si>
    <t>Capacitaciones online y falta de quorum.</t>
  </si>
  <si>
    <t>8. Socialización de resultados de estudios y notas técnicas transversalizando el enfoque de género.</t>
  </si>
  <si>
    <t>Eventos de socialización</t>
  </si>
  <si>
    <t>8.1  Diseñar estrategia de socialización en conjunto con el Departamento de Comunicación y con la colaboración de las demas areas (el plan tiene que incluir una capacitaciones para los analistas en técnicas de presentacion y comunicacion).                                                                                                                                                                                                                                                                                                                                                                                                          8.2 Identificar entregables y productos clave para las socializaciones.                                                                                                                                                                                                                                                                                                                                                                                                    8.3 Organizar los eventos para las socializaciones y convocar a las entidades participantes.                                                                                                                                                                                                                                                                                                                                                                                                                      8.4 Desarrollar procesos de socialización.
8.5. Presentación de hallazgos en la American Evaluation Association Conference.</t>
  </si>
  <si>
    <t>Falta de priorizacion de estos insumos.</t>
  </si>
  <si>
    <t xml:space="preserve">Este producto se realizara en colaboración los departamentos de comunicaciones y planificación y desarrollo </t>
  </si>
  <si>
    <t>9. Acompañamiento al proyecto de movilidad humana en la supervisión del procesos de levantamiento y en la parte metodológica.</t>
  </si>
  <si>
    <t>Documentos metodológico de proyecto</t>
  </si>
  <si>
    <t xml:space="preserve">Reportes,
Minuta de las reuniones del proyecto,
Informes
</t>
  </si>
  <si>
    <t>Documentos de proyecto</t>
  </si>
  <si>
    <t>9.1 Acompañamiento al proyecto retroalimentando los y las consultoras por lo que concierne el levantamiento de la información y de todos los procesos asociados.
9.2. Seguimiento a la implementacion de los levantamiento y de los aspectos metodológicos del proyecto.
9.3. Dar seguimiento a como van a ser presentados los datos y analizar la forma mejor de aportar a las  politicas publicas.</t>
  </si>
  <si>
    <t>Asuntos sensibles y criticos.</t>
  </si>
  <si>
    <t>En coordinacion con la direccion del proyecto.</t>
  </si>
  <si>
    <t xml:space="preserve">10. Desarrollo metodológico sobre FIBE para crisis economicas y de otro tipo e implementación de la encuesta FIBE (en caso de activación). </t>
  </si>
  <si>
    <t>Desarrollo o implementación de la encuesta FIBE</t>
  </si>
  <si>
    <t>Piloto interno y externo,
Minuta de las reuniones,
Capacitaciones o informe de levantamiento datos</t>
  </si>
  <si>
    <t>Nuevos eventos no previstos en la FIBE.</t>
  </si>
  <si>
    <t>11. Proceso de homologación ante nuevos ajustes de la ficha, modulos ad hoc, y de nuevas base de datos.</t>
  </si>
  <si>
    <t>Número de procesos de homologación realizados</t>
  </si>
  <si>
    <t>Minutas de las reuniones y acuerdos.
Procesos de limpieza de la base de datos.</t>
  </si>
  <si>
    <t>Procesos realizados</t>
  </si>
  <si>
    <t xml:space="preserve">11.1 Organización de los insumos de la homologación (registros, fichas, variables etc).
11.2. Elaboración de las pautas o directrices de codificación, homologación a ser aplicadas en la transformación de los datos.
11.3. Revisión de la consistencia interna de los datos y limpieza y triangulación.                                                                                                                                                                                                                                                                                                                                  </t>
  </si>
  <si>
    <t>Riesgo de no integrar correctamente la variable a la base de datos.</t>
  </si>
  <si>
    <t>12. Proceso de análisis y validación de la base de datos consolidada de SIUBEN +.</t>
  </si>
  <si>
    <t>Número de procesos de análisis y validación realizados.</t>
  </si>
  <si>
    <t>Minutas de las reuniones y acuerdos.
Procesos de limpieza de la base de datos</t>
  </si>
  <si>
    <t>12.1. Seguimiento continuo a la integración de nuevas variables en el registro.
12.2. Validación de las informaciones y de su coherencia interna.
12.3. Procesos de análisis de los datos en el registro y informe para tomadores de decisiones en las diferentes instituciones.</t>
  </si>
  <si>
    <t>Falta de insumos.
No inetgrar las recomendaciones que tenemos.</t>
  </si>
  <si>
    <t>Registros de firmas, PPT, fotos y grabaciones de las sesiones de capacitación</t>
  </si>
  <si>
    <t xml:space="preserve">Ejemplar de documento. </t>
  </si>
  <si>
    <t>Documento.</t>
  </si>
  <si>
    <t>Número de capsulas presentadas</t>
  </si>
  <si>
    <t xml:space="preserve">Actividades Pro-Igualdad de Género realizados </t>
  </si>
  <si>
    <t>Número de cápsulas del Día Naranja enviadas</t>
  </si>
  <si>
    <t>Correos, minutas o agenda de reunión donde se presente</t>
  </si>
  <si>
    <t>Nevera</t>
  </si>
  <si>
    <t>Estufa</t>
  </si>
  <si>
    <t>Abanico</t>
  </si>
  <si>
    <t>Bebedero</t>
  </si>
  <si>
    <t>       50,000.00</t>
  </si>
  <si>
    <t>         2,200.00</t>
  </si>
  <si>
    <t>         3,800.00</t>
  </si>
  <si>
    <t>         8,800.00</t>
  </si>
  <si>
    <t>Escritorio</t>
  </si>
  <si>
    <t>Sillas ergonómicas</t>
  </si>
  <si>
    <t>Archivo</t>
  </si>
  <si>
    <t>Estaciones de trabajo</t>
  </si>
  <si>
    <t>Sillas plásticas</t>
  </si>
  <si>
    <t>Mesas plásticas</t>
  </si>
  <si>
    <t>Aires acondicionados</t>
  </si>
  <si>
    <t>Letreros/señalizaciones</t>
  </si>
  <si>
    <t>         10,000.00</t>
  </si>
  <si>
    <t>          8,000.00</t>
  </si>
  <si>
    <t>          4,500.00</t>
  </si>
  <si>
    <t>         32,000.00</t>
  </si>
  <si>
    <t>          1,000.00</t>
  </si>
  <si>
    <t>          4,000.00</t>
  </si>
  <si>
    <t>         50,000.00</t>
  </si>
  <si>
    <t>         36,155.00</t>
  </si>
  <si>
    <t>Este monto no esta siendo sumado en el total, debido a que pertenece a la partida de capacitación que coordina RRHH.</t>
  </si>
  <si>
    <t>Considerar gestionar fondos por un monto estimado por RD$1,490,720.00 para el proceso de adquisión del servicio de auditoria externa de seguimiento, que debe ser en febrero 2025.</t>
  </si>
  <si>
    <t>Copia de solicitud de adquisición y TDR elaborados</t>
  </si>
  <si>
    <t>Verificar si se rectifica el decreto de austeridad para el año 2024 que prohíbe estos procesos de impresión.</t>
  </si>
  <si>
    <t>Correos de convocatoria, fotos de las actividades.</t>
  </si>
  <si>
    <t>Porcentaje de actividades realizadas</t>
  </si>
  <si>
    <t>Orden de Compras de los Servicios solicitados/ Reporte de mantenimientos realizados</t>
  </si>
  <si>
    <t>Dirección  de Tecnologia de la Información y Comunicaciones</t>
  </si>
  <si>
    <t>1- Implementación del Registro Social Universal y el Registro Único de Beneficiarios</t>
  </si>
  <si>
    <t>1.1- Crear el registro social universal (RSU) y el registro único de beneficiarios (RUB), enfocando sus funcionalidades a los requerimientos de información y análisis de las políticas sociales.</t>
  </si>
  <si>
    <t xml:space="preserve">Contración de consultoría tecnica sobre proceso de interoperabilidad </t>
  </si>
  <si>
    <t>Contración de consultoría tecnica sobre proceso de interoperabilidad, por 4 meses con pagos parciales por RD$100,000.00</t>
  </si>
  <si>
    <t>Se realizaran 4 capacitaciones a personal externo, 1 por mes, reservando un presupuesto para refrigerio por RD$22,400.00</t>
  </si>
  <si>
    <t>8.1  Diseñar estrategia de socialización en conjunto con el Departamento de Comunicación y con la colaboración de las demás áreas (el plan tiene que incluir una capacitaciones para los analistas en técnicas de presentacion y comunicacion).                                                                                                                                                                                                                                                                                                                                                                                                          8.2 Identificar entregables y productos clave para las socializaciones.                                                                                                                                                                                                                                                                                                                                                                                                    8.3 Organizar los eventos para las socializaciones y convocar a las entidades participantes.                                                                                                                                                                                                                                                                                                                                                                                                                      8.4 Desarrollar procesos de socialización.
8.5. Presentación de hallazgos en la American Evaluation Association Conference.</t>
  </si>
  <si>
    <t>Observación</t>
  </si>
  <si>
    <t xml:space="preserve">10.1 Revisión del proceso si necesario. 
10.2. Dar seguimiento al proceso metodológico y de levantamiento en campo.
10.3. Elaboración del análisis y atribución de valor de prioridad a los hogares encuestados.   
10.4. Creacion de la fichas de otro tipo de emergencias.                                                                  </t>
  </si>
  <si>
    <t>Choque con actividades prioritarias por la institución que pueden ocasional retraso en la ejecución de estas actividades</t>
  </si>
  <si>
    <t xml:space="preserve">Servidores Synergit </t>
  </si>
  <si>
    <t>Renovacion cableado estructurado Regionales y oficina principal</t>
  </si>
  <si>
    <t>Sistema de camara de video vigilacia NVR/IP</t>
  </si>
  <si>
    <t>Aire acondicionado para el area del gabinete, Split Inverter de 9,000 BTU</t>
  </si>
  <si>
    <t>Inversor 2.5Kilos con 4 baterias de 6V de ciclo profundo</t>
  </si>
  <si>
    <t>Control de acceso a puertas con Face ID, PIN, Tarjetas de Proximidad, compatible con el Software Biotime de control</t>
  </si>
  <si>
    <t>Extintor portaril de 5 libras, de composicion  de agente limpio para equipos electronicos</t>
  </si>
  <si>
    <t>Puerta de Cristal de acceso, al area de cuarto de data donde se encuentran los gabinetes</t>
  </si>
  <si>
    <r>
      <rPr>
        <b/>
        <sz val="14"/>
        <color theme="1"/>
        <rFont val="Gotham"/>
      </rPr>
      <t xml:space="preserve">                                                Filosofía Institucional</t>
    </r>
    <r>
      <rPr>
        <sz val="11"/>
        <color theme="1"/>
        <rFont val="Gotham"/>
      </rPr>
      <t xml:space="preserve">
</t>
    </r>
    <r>
      <rPr>
        <b/>
        <sz val="11"/>
        <color rgb="FFFF0000"/>
        <rFont val="Gotham"/>
      </rPr>
      <t xml:space="preserve">
Misión</t>
    </r>
    <r>
      <rPr>
        <sz val="11"/>
        <color theme="1"/>
        <rFont val="Gotham"/>
      </rPr>
      <t xml:space="preserve">
Gestionar el registro social universal de hogares y el registro único de beneficiarios a fin de proveer las informaciones necesarias para la identificación de la población elegible de los diferentes beneficios que entrega el Estado para una asignación efectiva de recursos públicos.
</t>
    </r>
    <r>
      <rPr>
        <b/>
        <sz val="11"/>
        <color rgb="FFFF0000"/>
        <rFont val="Gotham"/>
      </rPr>
      <t>Visión</t>
    </r>
    <r>
      <rPr>
        <sz val="11"/>
        <color theme="1"/>
        <rFont val="Gotham"/>
      </rPr>
      <t xml:space="preserve">
Ser una institución innovadora con altos estándares técnicos, de gobernanza, transparencia y manejo ético de la información, que gestiona el registro social universal de hogares y el registro único de beneficiarios de la República Dominicana con las mejores prácticas globales en el manejo de datos, agregando valor para orientar la asignación efectiva de recursos públicos.
</t>
    </r>
    <r>
      <rPr>
        <b/>
        <sz val="11"/>
        <color rgb="FFFF0000"/>
        <rFont val="Gotham"/>
      </rPr>
      <t xml:space="preserve">Valores 
</t>
    </r>
    <r>
      <rPr>
        <sz val="11"/>
        <color theme="1"/>
        <rFont val="Gotham"/>
      </rPr>
      <t xml:space="preserve">
</t>
    </r>
    <r>
      <rPr>
        <b/>
        <sz val="11"/>
        <color rgb="FF0070C0"/>
        <rFont val="Gotham"/>
      </rPr>
      <t>Justicia.</t>
    </r>
    <r>
      <rPr>
        <sz val="11"/>
        <color theme="1"/>
        <rFont val="Gotham"/>
      </rPr>
      <t xml:space="preserve"> Participamos en las políticas sociales apegados a los principios de equidad, transparencia, solidaridad, confiabilidad y disponibilidad  para garantizar la  atención e integridad de la población más  vulnerable, sin ningún tipo de discriminación.
</t>
    </r>
    <r>
      <rPr>
        <b/>
        <sz val="11"/>
        <color rgb="FF0070C0"/>
        <rFont val="Gotham"/>
      </rPr>
      <t>Respeto</t>
    </r>
    <r>
      <rPr>
        <sz val="11"/>
        <color theme="1"/>
        <rFont val="Gotham"/>
      </rPr>
      <t xml:space="preserve">. Actuamos de manera incondicional asumiendo a todos los seres humanos en igualdad de derechos,  respetando su dignidad, su privacidad e intimidad.
</t>
    </r>
    <r>
      <rPr>
        <b/>
        <sz val="11"/>
        <color rgb="FF0070C0"/>
        <rFont val="Gotham"/>
      </rPr>
      <t>Confidencialidad</t>
    </r>
    <r>
      <rPr>
        <sz val="11"/>
        <color theme="1"/>
        <rFont val="Gotham"/>
      </rPr>
      <t xml:space="preserve">. Resguardamos la información de los usuarios, como garantía del derecho que tiene toda persona a la confidencialidad de sus informaciones  privadas, para ser protegidas en base al valor de la confianza.
</t>
    </r>
    <r>
      <rPr>
        <b/>
        <sz val="11"/>
        <color rgb="FF0070C0"/>
        <rFont val="Gotham"/>
      </rPr>
      <t>Responsabilidad.</t>
    </r>
    <r>
      <rPr>
        <sz val="11"/>
        <color theme="1"/>
        <rFont val="Gotham"/>
      </rPr>
      <t xml:space="preserve"> Actuamos en base a principios para el logro de nuestros objetivos, incorporando mejoras continuas y previendo las mejores consecuencias para nuestros usuarios.
</t>
    </r>
  </si>
  <si>
    <r>
      <rPr>
        <b/>
        <sz val="14"/>
        <color theme="1"/>
        <rFont val="Gotham"/>
      </rPr>
      <t xml:space="preserve">                                                              Marco Estratégico</t>
    </r>
    <r>
      <rPr>
        <sz val="11"/>
        <color theme="1"/>
        <rFont val="Gotham"/>
      </rPr>
      <t xml:space="preserve">
El marco estratégico del Sistema Único de Beneficiarios (SIUBEN), se encuentra plasmado en su nuevo Plan Estratégico 2021-2024. Este Plan Operativo Anual (POA) responde a los lineamientos de la Estrategia Nacional de Desarrollo 2012-2030; el Plan Nacional Plurianual del Sector Público (PNPSP), los Objetivos Nacional de Desarrollo (ODS) y al Sello Igualando RD.
</t>
    </r>
    <r>
      <rPr>
        <b/>
        <sz val="11"/>
        <color rgb="FFFF0000"/>
        <rFont val="Gotham"/>
      </rPr>
      <t>Eje Estratégico 1: Eje Estratégico 1: Focalización Multidimensional de la Pobreza</t>
    </r>
    <r>
      <rPr>
        <sz val="11"/>
        <color theme="1"/>
        <rFont val="Gotham"/>
      </rPr>
      <t xml:space="preserve">
</t>
    </r>
    <r>
      <rPr>
        <b/>
        <sz val="11"/>
        <color rgb="FF0070C0"/>
        <rFont val="Gotham"/>
      </rPr>
      <t>1.1</t>
    </r>
    <r>
      <rPr>
        <sz val="11"/>
        <color theme="1"/>
        <rFont val="Gotham"/>
      </rPr>
      <t xml:space="preserve"> Crear el registro social universal (RSU) y el registro único de beneficiarios (RUB), enfocando sus funcionalidades a los requerimientos de información y análisis de las políticas sociales
</t>
    </r>
    <r>
      <rPr>
        <b/>
        <sz val="11"/>
        <color rgb="FFFF0000"/>
        <rFont val="Gotham"/>
      </rPr>
      <t>Eje Estratégico 2: Gobernanza y Fortalecimiento Institucional</t>
    </r>
    <r>
      <rPr>
        <sz val="11"/>
        <color theme="1"/>
        <rFont val="Gotham"/>
      </rPr>
      <t xml:space="preserve">
</t>
    </r>
    <r>
      <rPr>
        <b/>
        <sz val="11"/>
        <color rgb="FF0070C0"/>
        <rFont val="Gotham"/>
      </rPr>
      <t>2.1</t>
    </r>
    <r>
      <rPr>
        <sz val="11"/>
        <color theme="1"/>
        <rFont val="Gotham"/>
      </rPr>
      <t xml:space="preserve"> Fortalecer el Marco legal, normativo y funcional del SIUBEN
</t>
    </r>
    <r>
      <rPr>
        <b/>
        <sz val="11"/>
        <color rgb="FF0070C0"/>
        <rFont val="Gotham"/>
      </rPr>
      <t>2.2</t>
    </r>
    <r>
      <rPr>
        <sz val="11"/>
        <color theme="1"/>
        <rFont val="Gotham"/>
      </rPr>
      <t xml:space="preserve"> Posicionar al SIUBEN como una entidad clave para la eficientización de la asignación del gasto público y de las políticas del sector social
</t>
    </r>
    <r>
      <rPr>
        <b/>
        <sz val="11"/>
        <color rgb="FFFF0000"/>
        <rFont val="Gotham"/>
      </rPr>
      <t>Eje Estratégico 3: Investigación, Inteligencia de Datos y Difusión de la Información</t>
    </r>
    <r>
      <rPr>
        <sz val="11"/>
        <color theme="1"/>
        <rFont val="Gotham"/>
      </rPr>
      <t xml:space="preserve">
</t>
    </r>
    <r>
      <rPr>
        <b/>
        <sz val="11"/>
        <color rgb="FF0070C0"/>
        <rFont val="Gotham"/>
      </rPr>
      <t>3.1</t>
    </r>
    <r>
      <rPr>
        <sz val="11"/>
        <color theme="1"/>
        <rFont val="Gotham"/>
      </rPr>
      <t xml:space="preserve"> Dotar al SIUBEN de la capacidad para generar conocimientos a través de la investigación científica y la inteligencia de datos, para ponerlos al servicio de los hacedores de políticas públicas y de la sociedad en general
</t>
    </r>
    <r>
      <rPr>
        <b/>
        <sz val="11"/>
        <color rgb="FF002060"/>
        <rFont val="Gotham"/>
      </rPr>
      <t xml:space="preserve">
Estrategia Nacional de Desarrollo 2030</t>
    </r>
    <r>
      <rPr>
        <sz val="11"/>
        <color theme="1"/>
        <rFont val="Gotham"/>
      </rPr>
      <t xml:space="preserve">
El SIUBEN, por sus funciones, es compromisario del Primer y Segundo Eje de la Ley, que procura “un Estado Social y Democrático de Derecho” y “una Sociedad con Igualdad de Derechos y Oportunidades”.- “Un Estado social y democrático de derecho, con instituciones que actúan con ética, transparencia y eficacia al servicio de una sociedad responsable y participativa, que garantiza la seguridad y promueve la equidad, la gobernabilidad, la convivencia pacífica y el desarrollo nacional y local”, “Una sociedad con igualdad de derechos y oportunidades, en la que toda la población tiene garantizada educación, salud, vivienda digna y servicios básicos de calidad, y que promueve la reducción progresiva de la pobreza y la desigualdad social y territorial”. En sus Objetivo Generales “Administración pública eficiente, transparente y orientada a resultados” e “Igualdad de derechos y oportunidades” y con los Objetivos Específicos de “Estructurar una administración pública eficiente que actúe con honestidad, transparencia y rendición de cuentas y se oriente a la obtención de resultados en beneficio de la sociedad y del desarrollo nacional y local” y “Disminuir la pobreza mediante un efectivo y eficiente sistema de protección social, que tome en cuenta las necesidades y vulnerabilidades a lo largo del ciclo de vida.”
</t>
    </r>
  </si>
  <si>
    <r>
      <rPr>
        <b/>
        <sz val="11"/>
        <color rgb="FF0070C0"/>
        <rFont val="Gotham"/>
      </rPr>
      <t>END 1.1.1.1</t>
    </r>
    <r>
      <rPr>
        <sz val="11"/>
        <color theme="1"/>
        <rFont val="Gotham"/>
      </rPr>
      <t xml:space="preserve"> Racionalizar y normalizar la estructura organizativa del Estado, incluyendo tanto las funciones institucionales como la dotación de personal, para eliminar la duplicidad y dispersión de funciones y organismos y propiciar el acercamiento de los servicios públicos a la población en el territorio, mediante la adecuada descentralización y desconcentración de la provisión de los mismos cuando corresponda.
</t>
    </r>
    <r>
      <rPr>
        <b/>
        <sz val="11"/>
        <color rgb="FF0070C0"/>
        <rFont val="Gotham"/>
      </rPr>
      <t>END 1.1.2.1</t>
    </r>
    <r>
      <rPr>
        <sz val="11"/>
        <color theme="1"/>
        <rFont val="Gotham"/>
      </rPr>
      <t xml:space="preserve"> Fortalecer las capacidades técnicas, gerenciales y de planificación de los gobiernos locales </t>
    </r>
    <r>
      <rPr>
        <sz val="11"/>
        <rFont val="Gotham"/>
      </rPr>
      <t>para formular y ejecutar políticas públicas de manera articulada con el Gobierno Central.</t>
    </r>
    <r>
      <rPr>
        <sz val="11"/>
        <color rgb="FF0070C0"/>
        <rFont val="Gotham"/>
      </rPr>
      <t xml:space="preserve">
</t>
    </r>
    <r>
      <rPr>
        <b/>
        <sz val="11"/>
        <color rgb="FF0070C0"/>
        <rFont val="Gotham"/>
      </rPr>
      <t>END 2.3.3.3</t>
    </r>
    <r>
      <rPr>
        <sz val="11"/>
        <color theme="1"/>
        <rFont val="Gotham"/>
      </rPr>
      <t xml:space="preserve"> Reformar la institucionalidad del sistema de protección social para mejorar el sistema de diseño, ejecución, monitoreo y evaluación de las políticas de protección e inclusión de las familias en condición de pobreza y vulnerabilidad, mediante la integración coordinada de las acciones de los diversos niveles de gobierno e instituciones.
</t>
    </r>
    <r>
      <rPr>
        <b/>
        <sz val="11"/>
        <color rgb="FF0070C0"/>
        <rFont val="Gotham"/>
      </rPr>
      <t>END 2.3.3.4</t>
    </r>
    <r>
      <rPr>
        <sz val="11"/>
        <color theme="1"/>
        <rFont val="Gotham"/>
      </rPr>
      <t xml:space="preserve"> Promover la participación activa de los diferentes actores y sectores sociales en los procesos de diseño, ejecución, evaluación y monitoreo de políticas, programas y proyectos orientados a la reducción de la pobreza, incluyendo aquellos que también impactan positivamente en la sostenibilidad del medio ambiente y la gestión de riesgos.
Cada Plan Nacional Plurianual del Sector Público contendrá el conjunto de programas, proyectos y medidas de políticas, dirigidos a contribuir al logro de los Objetivos y Metas de la Estrategia Nacional de Desarrollo 2030 y definirá cuáles programas y proyectos prioritarios tendrán financiamiento protegido durante la ejecución de dicho plan.
Dos productos definen la participación del SIUBEN en el Plan Plurianual:
</t>
    </r>
    <r>
      <rPr>
        <b/>
        <sz val="11"/>
        <color rgb="FF0070C0"/>
        <rFont val="Gotham"/>
      </rPr>
      <t>Hogares incluidos en  la base de datos del SIUBEN para la constitución del Registro Social Universal</t>
    </r>
    <r>
      <rPr>
        <sz val="11"/>
        <color theme="1"/>
        <rFont val="Gotham"/>
      </rPr>
      <t xml:space="preserve">. Es el registro de todos los hogares ubicados en el territorio nacional  para su categorización de acuerdo a su nivel socioeconómico o vulnerabilidad, con el fin de proveer  información a los programas sociales y a los hacedores de políticas sociales para la focalización de políticas sociales en la República Dominicana.
</t>
    </r>
    <r>
      <rPr>
        <b/>
        <sz val="11"/>
        <color rgb="FF0070C0"/>
        <rFont val="Gotham"/>
      </rPr>
      <t>Instituciones registran los hogares beneficiarios en la base de datos del Siuben para la creación del Registro Único de Beneficiarios.</t>
    </r>
    <r>
      <rPr>
        <sz val="11"/>
        <color theme="1"/>
        <rFont val="Gotham"/>
      </rPr>
      <t xml:space="preserve"> Es el  padrón de los  hogares que reciben beneficios de los programas de protección social, obtenido a través de los registros administrativos de las instituciones ejecutoras de  las políticas del sector.
</t>
    </r>
    <r>
      <rPr>
        <b/>
        <sz val="11"/>
        <color rgb="FF002060"/>
        <rFont val="Gotham"/>
      </rPr>
      <t>Objetivos de Desarrollo Sostenible (ODS)</t>
    </r>
    <r>
      <rPr>
        <sz val="11"/>
        <color theme="1"/>
        <rFont val="Gotham"/>
      </rPr>
      <t xml:space="preserve">
1. Fin de la Pobreza 
2. Hambre Cero
3. Salud y Bienestar 
5. Igualdad de Género
10. Reducción de las Desigualdades
16. Paz, Justicia e Instituciones Solidas
</t>
    </r>
    <r>
      <rPr>
        <sz val="11"/>
        <color theme="1"/>
        <rFont val="Calibri"/>
        <family val="2"/>
        <scheme val="minor"/>
      </rPr>
      <t xml:space="preserve">
</t>
    </r>
  </si>
  <si>
    <t>1.1 Revisar y/o recomendar los convenios y acuerdos segun las necesidades identificadas a nivel de BD unificada y de registro unico de hogares y registros de beneficiarios.
1.2 Realizar reuniones con enlaces en las instituciones para revisar las fichas y procesos de recoleccion y puerta de entradas y acordar los tiempos de registros.
1.3 Análizar los cuestionarios, los diccionarios de datos y las variables para interoperar.
1.4 Crear protocolos de interoperabilidad y acuerdos basados en las reuniones y alimentar el documento guia de variable y guias de interoperabilidad.</t>
  </si>
  <si>
    <t>Tres encuentros sobre estos temas para socializacion, se estimada participación de 50/60 personas y se les ofreceria un refrigerio. Estimando el costo de refrigerio para cada evento por RD$36,800.00</t>
  </si>
  <si>
    <t xml:space="preserve">Compra de Impresora multifunción HP DesignJet T830 de 36 pulgadas </t>
  </si>
  <si>
    <t xml:space="preserve">Mantenimiento a la impresora multifunción HP DesignJet T830 de 36 pulgadas  </t>
  </si>
  <si>
    <t>G</t>
  </si>
  <si>
    <t>38.1 Capacitación para el personal auditor en redacción de No Conformidades.
Capacitación en ISO 9001 para Paúl Rosa.</t>
  </si>
  <si>
    <t>Tabla No. 1
Presupuesto 2022 por objeto de gasto</t>
  </si>
  <si>
    <t>DETALLE</t>
  </si>
  <si>
    <t>Gráfico No. 1 Distribución porcentual del presupuesto, según objeto del gasto</t>
  </si>
  <si>
    <t>Tabla No. 2
Presupuesto por programática</t>
  </si>
  <si>
    <t>CODIGO</t>
  </si>
  <si>
    <t>PROGRAMÁTICAS</t>
  </si>
  <si>
    <t xml:space="preserve">MONTO </t>
  </si>
  <si>
    <t>08.00.0001</t>
  </si>
  <si>
    <t>Levantamiento Nacional de Hogares para su Categorización</t>
  </si>
  <si>
    <t>09.00.0001</t>
  </si>
  <si>
    <t>Creación de un Sistema de Registro de Beneficiarios a tráves de Datos Administrativos</t>
  </si>
  <si>
    <t>00.00.0001</t>
  </si>
  <si>
    <t>Dirección y Coordinación (SIUBEN)</t>
  </si>
  <si>
    <t>Dirección y Coordinación (SIUBEN</t>
  </si>
  <si>
    <t>Denominación</t>
  </si>
  <si>
    <t>2.1.1.1.01</t>
  </si>
  <si>
    <t>Sueldos fijos</t>
  </si>
  <si>
    <t>2.1.1.2.09</t>
  </si>
  <si>
    <t>Sueldo de carácter eventual</t>
  </si>
  <si>
    <t>2.1.2.2.05</t>
  </si>
  <si>
    <t>Compensación por servicios de seguridad</t>
  </si>
  <si>
    <t>2.1.1.4.01</t>
  </si>
  <si>
    <t>Sueldo anual No. 13</t>
  </si>
  <si>
    <t>2.1.1.5.01</t>
  </si>
  <si>
    <t>Prestaciones Laborales</t>
  </si>
  <si>
    <t>2.1.1.5.04</t>
  </si>
  <si>
    <t>Proporción de vacaciones no disfrutadas</t>
  </si>
  <si>
    <t>2.1.5.1.01</t>
  </si>
  <si>
    <t>Contribuciones al seguro de salud</t>
  </si>
  <si>
    <t>2.1.5.2.01</t>
  </si>
  <si>
    <t>Contribuciones al seguro de pensiones</t>
  </si>
  <si>
    <t>2.1.5.3.01</t>
  </si>
  <si>
    <t>Contribuciones al seguro de riesgo laboral</t>
  </si>
  <si>
    <t>Sub-total</t>
  </si>
  <si>
    <t>2.2.1.2.01</t>
  </si>
  <si>
    <t>Servicio  de larga distancia</t>
  </si>
  <si>
    <t>2.2.1.3.01</t>
  </si>
  <si>
    <t>Teléfono local</t>
  </si>
  <si>
    <t>2.2.1.5.01</t>
  </si>
  <si>
    <t>Servicio de Internet</t>
  </si>
  <si>
    <t>2.2.1.6.01</t>
  </si>
  <si>
    <t>Electricidad</t>
  </si>
  <si>
    <t>2.2.1.7.01</t>
  </si>
  <si>
    <t>Agua</t>
  </si>
  <si>
    <t>2.2.1.8.01</t>
  </si>
  <si>
    <t>Residuos sólidos</t>
  </si>
  <si>
    <t>Publicidad y propaganda</t>
  </si>
  <si>
    <t xml:space="preserve">Impresión y encuadernación </t>
  </si>
  <si>
    <t>Viáticos dentro del país</t>
  </si>
  <si>
    <t>2.2.3.2.01</t>
  </si>
  <si>
    <t>Viáticos fuera del país</t>
  </si>
  <si>
    <t>Pasajes</t>
  </si>
  <si>
    <t>2.2.4.2.01</t>
  </si>
  <si>
    <t>Fletes</t>
  </si>
  <si>
    <t>2.2.4.3.01</t>
  </si>
  <si>
    <t>Almacenaje</t>
  </si>
  <si>
    <t>2.2.4.4.01</t>
  </si>
  <si>
    <t>Peaje</t>
  </si>
  <si>
    <t>2.2.5.1.01</t>
  </si>
  <si>
    <t>Edificios y locales</t>
  </si>
  <si>
    <t>2.2.5.3.01</t>
  </si>
  <si>
    <t>Alquiler equipo educacional</t>
  </si>
  <si>
    <t>2.2.5.3.04</t>
  </si>
  <si>
    <t>Alquiler equipo de oficina y muebles</t>
  </si>
  <si>
    <t>2.2.5.4.01</t>
  </si>
  <si>
    <t>Equipos de transporte</t>
  </si>
  <si>
    <t>Licencias informáticas</t>
  </si>
  <si>
    <t>2.2.6.1.01</t>
  </si>
  <si>
    <t>Seguro de bienes inmuebles</t>
  </si>
  <si>
    <t>2.2.6.2.01</t>
  </si>
  <si>
    <t>Seguro de bienes muebles</t>
  </si>
  <si>
    <t>Seguros de personas</t>
  </si>
  <si>
    <t>2.2.7.1.01</t>
  </si>
  <si>
    <t>Obras menores</t>
  </si>
  <si>
    <t>Mantenimiento y reparación equipo muebles y equipos de oficina</t>
  </si>
  <si>
    <t>Mantenimiento y reparación equipo para computación</t>
  </si>
  <si>
    <t>2.2.7.2.03</t>
  </si>
  <si>
    <t>Mantenimiento y reparación equipos de comunicación</t>
  </si>
  <si>
    <t xml:space="preserve">Mantenimiento y reparación equipos de transporte, tracción </t>
  </si>
  <si>
    <t>2.2.8.2.01</t>
  </si>
  <si>
    <t>Comisiones y gastos bancarios</t>
  </si>
  <si>
    <t>Fumigación</t>
  </si>
  <si>
    <t>Lavandería</t>
  </si>
  <si>
    <t>2.2.8.5.03</t>
  </si>
  <si>
    <t>Limpieza e higiene</t>
  </si>
  <si>
    <t>2.2.8.6.01</t>
  </si>
  <si>
    <t>Organización eventos generales</t>
  </si>
  <si>
    <t>2.2.8.6.02</t>
  </si>
  <si>
    <t>Festividades</t>
  </si>
  <si>
    <t>2.2.8.6.03</t>
  </si>
  <si>
    <t>Actuaciones deportivas</t>
  </si>
  <si>
    <t>Servicio de capacitación</t>
  </si>
  <si>
    <t>Otros Servicios técnicos y profesionales</t>
  </si>
  <si>
    <t>2.2.8.8.01</t>
  </si>
  <si>
    <t>Impuestos</t>
  </si>
  <si>
    <t>2.2.8.8.02</t>
  </si>
  <si>
    <t xml:space="preserve">Derechos </t>
  </si>
  <si>
    <t>2.2.8.8.03</t>
  </si>
  <si>
    <t>Tasas</t>
  </si>
  <si>
    <t>Otras contrataciones de servicios</t>
  </si>
  <si>
    <t>Servicio de alimentación</t>
  </si>
  <si>
    <t>Alimentos y bebidas</t>
  </si>
  <si>
    <t xml:space="preserve">Productos forestales </t>
  </si>
  <si>
    <t>Prendas de vestir</t>
  </si>
  <si>
    <t>2.3.2.4.01</t>
  </si>
  <si>
    <t>Calzados</t>
  </si>
  <si>
    <t>2.3.3.1.01</t>
  </si>
  <si>
    <t>Papel de escritorio</t>
  </si>
  <si>
    <t>2.3.3.2.01</t>
  </si>
  <si>
    <t>Productos de papel y cartón</t>
  </si>
  <si>
    <t>2.3.3.3.01</t>
  </si>
  <si>
    <t xml:space="preserve">Producto de Artes gráficas </t>
  </si>
  <si>
    <t>2.3.3.4.01</t>
  </si>
  <si>
    <t>Libros revistas y periódicos</t>
  </si>
  <si>
    <t>2.3.3.5.01</t>
  </si>
  <si>
    <t>Texto de enseñanza</t>
  </si>
  <si>
    <t>2.3.4.1.01</t>
  </si>
  <si>
    <t>Productos medicinales para uso humano</t>
  </si>
  <si>
    <t>2.3.5.1.01</t>
  </si>
  <si>
    <t>Cueros y pieles</t>
  </si>
  <si>
    <t>2.3.5.2.01</t>
  </si>
  <si>
    <t>Artículos de cuero</t>
  </si>
  <si>
    <t>2.3.5.3.01</t>
  </si>
  <si>
    <t xml:space="preserve">Llantas y neumáticos </t>
  </si>
  <si>
    <t>2.3.5.4.01</t>
  </si>
  <si>
    <t>Artículos de Caucho</t>
  </si>
  <si>
    <t>Artículos de Plástico</t>
  </si>
  <si>
    <t>2.3.6.1.01</t>
  </si>
  <si>
    <t>Productos de cemento</t>
  </si>
  <si>
    <t>2.3.6.1.02</t>
  </si>
  <si>
    <t>Productos de cal</t>
  </si>
  <si>
    <t>2.3.6.1.04</t>
  </si>
  <si>
    <t>Productos de yeso</t>
  </si>
  <si>
    <t>2.3.6.1.05</t>
  </si>
  <si>
    <t>Productos de arcilla y derivados</t>
  </si>
  <si>
    <t>Productos de vidrio</t>
  </si>
  <si>
    <t>2.3.6.2.02</t>
  </si>
  <si>
    <t>Productos de loza</t>
  </si>
  <si>
    <t>2.3.6.3.04</t>
  </si>
  <si>
    <t>Herramientas menores</t>
  </si>
  <si>
    <t>2.3.6.3.06</t>
  </si>
  <si>
    <t>Accesorios de metal</t>
  </si>
  <si>
    <t>Gasolina</t>
  </si>
  <si>
    <t>2.3.7.1.02</t>
  </si>
  <si>
    <t>Gasoil</t>
  </si>
  <si>
    <t>Materiales de limpieza</t>
  </si>
  <si>
    <t>Útiles de escritorio, oficina informática y enseñanza</t>
  </si>
  <si>
    <t>2.3.9.3.01</t>
  </si>
  <si>
    <t>Utiles menores médicos - quirurgico</t>
  </si>
  <si>
    <t>2.3.9.4.01</t>
  </si>
  <si>
    <t>Útiles destinados a actividades deportivas y recreativas</t>
  </si>
  <si>
    <t>Útiles de cocina y comedor</t>
  </si>
  <si>
    <t>Productos electrónicos y afines</t>
  </si>
  <si>
    <t>2.4.1.2.01</t>
  </si>
  <si>
    <t>Ayudas y donaciones</t>
  </si>
  <si>
    <t>2.4.1.4.01</t>
  </si>
  <si>
    <t>Becas nacionales</t>
  </si>
  <si>
    <t>Muebles de oficina y estantería</t>
  </si>
  <si>
    <t>Equipo computacional</t>
  </si>
  <si>
    <t>Electrodoméstico</t>
  </si>
  <si>
    <t>2.6.1.9.01</t>
  </si>
  <si>
    <t xml:space="preserve">Otros Mobiliarios y Equipos </t>
  </si>
  <si>
    <t>2.6.5.5.01</t>
  </si>
  <si>
    <t>Equipo de comunicación</t>
  </si>
  <si>
    <t xml:space="preserve">Tabla No. 4 </t>
  </si>
  <si>
    <t>Departamento</t>
  </si>
  <si>
    <t xml:space="preserve">Naciones Unidas </t>
  </si>
  <si>
    <t xml:space="preserve">Banco Mundial </t>
  </si>
  <si>
    <t>Cooperación Francesa</t>
  </si>
  <si>
    <t xml:space="preserve">Análisis </t>
  </si>
  <si>
    <t xml:space="preserve">Administrativo y Financiero </t>
  </si>
  <si>
    <t xml:space="preserve">Recursos Humanos </t>
  </si>
  <si>
    <t>Tecnología</t>
  </si>
  <si>
    <t>Planificación</t>
  </si>
  <si>
    <t>Total</t>
  </si>
  <si>
    <t> PRESUPUESTO FORMULADO 2024</t>
  </si>
  <si>
    <t> GASTOS CORRIENTES </t>
  </si>
  <si>
    <t> Servicios personales  </t>
  </si>
  <si>
    <t> Servicios no personales  </t>
  </si>
  <si>
    <t> Materiales y suministros  </t>
  </si>
  <si>
    <t> Total Gastos Corrientes  </t>
  </si>
  <si>
    <t> Activos no financieros  </t>
  </si>
  <si>
    <t> Total desembolsos  </t>
  </si>
  <si>
    <t>Peso porcentual</t>
  </si>
  <si>
    <t>Trimestre 1</t>
  </si>
  <si>
    <t>Trimestre 2</t>
  </si>
  <si>
    <t>Trimestre 3</t>
  </si>
  <si>
    <t>Trimestre 4</t>
  </si>
  <si>
    <r>
      <t xml:space="preserve">Fuente: </t>
    </r>
    <r>
      <rPr>
        <sz val="11"/>
        <color theme="1"/>
        <rFont val="Gotham"/>
      </rPr>
      <t>Presupuesto 2024 aprobado por DIGREPRES</t>
    </r>
  </si>
  <si>
    <t>Revisión y Control de Datos </t>
  </si>
  <si>
    <r>
      <t xml:space="preserve">Fuente: </t>
    </r>
    <r>
      <rPr>
        <sz val="10"/>
        <color theme="1"/>
        <rFont val="Gotham"/>
      </rPr>
      <t>Presupuesto 2024 aprobado por DIGREPRES</t>
    </r>
  </si>
  <si>
    <t>Gráfico 2: Presupuesto 2024 por programática</t>
  </si>
  <si>
    <t>Presupuesto Nacional POA Asignado</t>
  </si>
  <si>
    <t>2.1.2.2.10</t>
  </si>
  <si>
    <t>Incentivo SISMAP</t>
  </si>
  <si>
    <t>2.2.5.3.02</t>
  </si>
  <si>
    <t>Alquiler equipos de tecnología</t>
  </si>
  <si>
    <t>2.2.9.2.03</t>
  </si>
  <si>
    <t>Servicios de Catering</t>
  </si>
  <si>
    <t>Productos y utiles varios n.i.p</t>
  </si>
  <si>
    <t>2.6.5.4.02</t>
  </si>
  <si>
    <t>Equipos de climatización</t>
  </si>
  <si>
    <t>2.6.5.8.01</t>
  </si>
  <si>
    <t>Otros equipos</t>
  </si>
  <si>
    <t>Total general</t>
  </si>
  <si>
    <t>Presupuesto POA 2024 RD$</t>
  </si>
  <si>
    <t>Presupuesto  2024 RD$</t>
  </si>
  <si>
    <t>2.2.5.8.01</t>
  </si>
  <si>
    <t>2.2.8.7.05</t>
  </si>
  <si>
    <t>2.6.2.1.01</t>
  </si>
  <si>
    <t>Distribución Presupuesto POA 2024 Planificado</t>
  </si>
  <si>
    <t xml:space="preserve">Presupuesto Disponible para Programación POA </t>
  </si>
  <si>
    <t>Otros alquileres y arrendamientos por derechos de usos</t>
  </si>
  <si>
    <t>Contratación de Servicios mantenimientos para UPS APC (1 año)</t>
  </si>
  <si>
    <t>Contratación de Servicios mantenimientos Sistemas Contra Indencios (1 año)</t>
  </si>
  <si>
    <t>2.3.7.2.99</t>
  </si>
  <si>
    <t>Servicios de informática y sistemas computarizados</t>
  </si>
  <si>
    <t>Otros productos químicos y conexos</t>
  </si>
  <si>
    <t>Equipos y Aparatos Audiovisuales</t>
  </si>
  <si>
    <t>2.2.7.2.08</t>
  </si>
  <si>
    <t>Servicios de mantenimiento, reparación, desmonte e  instalación</t>
  </si>
  <si>
    <t>3. Capacitación del equipo de la Dirección de Análisis sobre los nuevos índices:
3a. Siuben 3
3b. IVACC
3c. Modelo de ingresos
3d. IPT</t>
  </si>
  <si>
    <t>Desarrollar consultoria especifica sobre este tema.
(por ejemplo pero no solamente validación y definicion de uso y/o homologación) con socios clave tal y como: SeNaSa, INFOTEP, CONAPE, INAIPI, SISALRIL y CONADIS.</t>
  </si>
  <si>
    <t>En conjunto con el departamento de comunicación. 
tal y como: interoperabilidad, transversalización de genero en la institución, evaluación de politicas publicas, entre otros temas clave y de punta para la institución.</t>
  </si>
  <si>
    <t xml:space="preserve">1. Documento Guía de Variables y Reglas de Interoperabilidad </t>
  </si>
  <si>
    <t xml:space="preserve">Documento elaborado </t>
  </si>
  <si>
    <t>Porcentaje de elaboración de la guía</t>
  </si>
  <si>
    <t>2. Documentos con los hallazgos de los procesos de levantamiento de informacion e investigación on demand.</t>
  </si>
  <si>
    <t>Correos o cartas enviada a las partes interesadas</t>
  </si>
  <si>
    <t xml:space="preserve">Documento con hallazgos elaborados </t>
  </si>
  <si>
    <t xml:space="preserve">4. Guías de Puerta de Entrada de los Datos </t>
  </si>
  <si>
    <t>En coordinacion con la direccion, TI, Operaciones, Calidad del datos, y planificacion.
entre los cuales: Levantamientos por barrido, centro de atención telefonica, autoregistrate institucional, autoregistrate personal entre otros.</t>
  </si>
  <si>
    <t xml:space="preserve">Guías de puertas de entradas elaboradas </t>
  </si>
  <si>
    <t>Documento que contiene las Guías elaborado</t>
  </si>
  <si>
    <t xml:space="preserve">5. Notas Técnicas sobre procesos clave de la institución </t>
  </si>
  <si>
    <t>7. Capacitaciones sobre los diversos índices de la institución, abordando temas como requisitos, manejo de la base de datos y utilización eficaz de la misma, dirigidas a usuarios externos</t>
  </si>
  <si>
    <t xml:space="preserve">Documento firmado y sellado </t>
  </si>
  <si>
    <t>Licencia SPSS</t>
  </si>
  <si>
    <t>Módulo ad hoc para movilidad huamana funcionando</t>
  </si>
  <si>
    <t xml:space="preserve">Registro funcionando </t>
  </si>
  <si>
    <t xml:space="preserve">Porcentaje de desarrollo del Sistema de levantamiento de estudio socieconómico de hogares realizado 
</t>
  </si>
  <si>
    <t xml:space="preserve">Porcentaje de implementación del dashboard de movilidad humana 
</t>
  </si>
  <si>
    <t>Porcentaje de implementación de la plataforma de para sistemas de identidad digital</t>
  </si>
  <si>
    <t>Porcentaje de implementación del módulo ad hoc para movilidad humana</t>
  </si>
  <si>
    <t xml:space="preserve">Porcentaje de implementación del portal de protección social </t>
  </si>
  <si>
    <t xml:space="preserve">Campaña de Aniversario ejecutada  </t>
  </si>
  <si>
    <t>Correos e imagines de la difusión de la campaña</t>
  </si>
  <si>
    <t xml:space="preserve">Artes, correos e imagenes de difusión </t>
  </si>
  <si>
    <t xml:space="preserve">Informe de la actualización de la provincia de Azua </t>
  </si>
  <si>
    <t xml:space="preserve">Número de manzanas actualizadas en la provincia de Azua </t>
  </si>
  <si>
    <t>Imagenes de los gráficos realizados en web mapping</t>
  </si>
  <si>
    <t xml:space="preserve">Informes y correos del piloto </t>
  </si>
  <si>
    <t>Vuelos fotogramétricos realizados</t>
  </si>
  <si>
    <t xml:space="preserve">Piloto de actualización realizados </t>
  </si>
  <si>
    <t xml:space="preserve">Imagenes de los vuelos realizados 
Informes realizados  
Imagenes de los mapas realizados </t>
  </si>
  <si>
    <t>Proyecto del BID</t>
  </si>
  <si>
    <t xml:space="preserve">Número de manzanas actualizadas en apoyo a la consolidación del sistema de protección social </t>
  </si>
  <si>
    <t xml:space="preserve">Informe de las manzanas actualizadas en el marco del proyecto </t>
  </si>
  <si>
    <t>Informe Anual de Cierre
del PEI 2021-2024</t>
  </si>
  <si>
    <t>Documentos de
cooperación aprobados y
firmados con el cooperante</t>
  </si>
  <si>
    <t>Ausencia de respuesta o
respuesta tardía por parte de los
organismos y socios cooperantes
y de las instituciones nacionales
involucrados</t>
  </si>
  <si>
    <t xml:space="preserve">Convenios de cooperación firmados </t>
  </si>
  <si>
    <t>Propuestas para el
fortalecimiento de la oferta
elaboradas</t>
  </si>
  <si>
    <t xml:space="preserve">Propuesta de fortalecimiento elaborada </t>
  </si>
  <si>
    <t>No contar con el apoyo necesario de los
departamentos internos del
SIUBEN involucrados</t>
  </si>
  <si>
    <t>Tabla No. 3 Presupuesto POA 2024 por cuenta</t>
  </si>
  <si>
    <t xml:space="preserve">Número de nuevos registros </t>
  </si>
  <si>
    <t>Informes con los cambios sugeridos.</t>
  </si>
  <si>
    <t>Sintaxis/Hoja de resultados</t>
  </si>
  <si>
    <t>Documento descriptivo</t>
  </si>
  <si>
    <t>Actualización de datos con base en la plataforma SIUBEN+</t>
  </si>
  <si>
    <t>Plataforma</t>
  </si>
  <si>
    <t>17. Realizados Empadronamiento en zonas priorizadas a nivel nacional, con mayor vulnerabilidad</t>
  </si>
  <si>
    <t>17.1 Realizar empadronamiento  en provincias priorizadas</t>
  </si>
  <si>
    <t>17.2 Levantar necesidades de las regionales y Solicitar adquisión de las necesidades de las regionales</t>
  </si>
  <si>
    <t xml:space="preserve">18. Revisión y Certificación de la Calidad del Dato realizada en los tiempos previstos </t>
  </si>
  <si>
    <t xml:space="preserve">19. Cédulas recuperadas </t>
  </si>
  <si>
    <t xml:space="preserve">20. Fortalecimiento del dashboard de calidad del dato </t>
  </si>
  <si>
    <t>18.1 Revisar los formularios - Supervisar la calidad levantamiento en las Regionales</t>
  </si>
  <si>
    <t>18.2 Certificar los Formularios - Revisión y certificación de la Base de Datos</t>
  </si>
  <si>
    <t>19.1 Identificar y Corregir las cédulas 888, 999 y 777</t>
  </si>
  <si>
    <t>Licencias</t>
  </si>
  <si>
    <t xml:space="preserve">21. Cartografía actualizada </t>
  </si>
  <si>
    <t>21.2 Verificar en campo y actualizar  las manzanas con crecimiento poblacional de las vías y manzanas a nivel nacional</t>
  </si>
  <si>
    <t>21.3 Verificar  las  manzanas con cero viviendas utilizando imagenes satelitales (Google Earth)</t>
  </si>
  <si>
    <t>21. Cartografía del SIUBEN actualizada</t>
  </si>
  <si>
    <t>30. Mantenimiento preventivo de infraestructura física, equipamiento y vehículos</t>
  </si>
  <si>
    <t xml:space="preserve">30.1 Realizar  mantenimientos periódicos de la infraestructura del SIUBEN en la Sede Central y las Regionales </t>
  </si>
  <si>
    <t xml:space="preserve">30.2 Realizar  mantenimientos periódicos de los equipos del SIUBEN en la Sede Central y las Regionales </t>
  </si>
  <si>
    <t xml:space="preserve">30.3 Realizar mantenimientos periódicos de los vehículos de la institución. </t>
  </si>
  <si>
    <t>31. Inventario de bienes y suministros actualizado</t>
  </si>
  <si>
    <t>31.1 Realizar los inventarios de bienes y suministros de la institución</t>
  </si>
  <si>
    <t>32. Informes financieros entregados a tiempo</t>
  </si>
  <si>
    <t xml:space="preserve">32.1 Generar los informes financieros </t>
  </si>
  <si>
    <t>33. Seguimiento a las Regionales</t>
  </si>
  <si>
    <t>33.1 Realizar visitas a las Regionales para realización de arqueos e informe semestral</t>
  </si>
  <si>
    <t>34. Plan anual de compra ejecutado</t>
  </si>
  <si>
    <t>34.1 Realizar los procesos de compras Licitaciones identificados</t>
  </si>
  <si>
    <t>34.2 Realizar los procesos de compras Comparaciones de Compras Identificados</t>
  </si>
  <si>
    <t>34.3 Realizar los procesos de compras Menores Identificados</t>
  </si>
  <si>
    <t>34.4 Realizar los procesos de compras por debajo del Umbral Mínimo Identificados</t>
  </si>
  <si>
    <t>35. Fortalecimiento Institucional</t>
  </si>
  <si>
    <t>35.1 Suplir los suministros requeridos en el area de Almacén de la institución</t>
  </si>
  <si>
    <t>35.2 Suplir los insumos requeridos para la Operatividad diaria de la institución</t>
  </si>
  <si>
    <t>35.3 Suplir de insumos requeridos para la ejecución del Plan de emergencia y Seguridad</t>
  </si>
  <si>
    <t>34.1  Realizar los procesos de compras Licitaciones identificados</t>
  </si>
  <si>
    <t>36. Programa anual de auditorías al Sistema de Gestión Integrado ejecutado.</t>
  </si>
  <si>
    <r>
      <t xml:space="preserve">36.1 Realizar auditoría externa de </t>
    </r>
    <r>
      <rPr>
        <b/>
        <sz val="12"/>
        <color theme="1"/>
        <rFont val="Gotham"/>
      </rPr>
      <t xml:space="preserve">seguimiento II </t>
    </r>
    <r>
      <rPr>
        <sz val="12"/>
        <color theme="1"/>
        <rFont val="Gotham"/>
      </rPr>
      <t xml:space="preserve">con el ente certificador a las normas: ISO 9001:2015,  ISO 27001:2013 e ISO 22301:2019 </t>
    </r>
  </si>
  <si>
    <t>36.2 Realizar auditoría Interna de las normas ISO 9001:2015 Sistema de Gestión de la Calidad, ISO 27001:2013 e ISO 22301:2019 a todo el alcance declarado</t>
  </si>
  <si>
    <t>36.3 Contratación de empresa certificadora para realizar la auditoría de Renovación y 2 auditorias de seguimiento de  las normas: ISO 9001:2015,  ISO 27001:2013 e ISO 22301:2019</t>
  </si>
  <si>
    <r>
      <t xml:space="preserve">36.4 Realizar auditoría externa de </t>
    </r>
    <r>
      <rPr>
        <b/>
        <sz val="12"/>
        <color theme="1"/>
        <rFont val="Gotham"/>
      </rPr>
      <t>Renovación-Recertificación</t>
    </r>
    <r>
      <rPr>
        <sz val="12"/>
        <color theme="1"/>
        <rFont val="Gotham"/>
      </rPr>
      <t xml:space="preserve"> con el ente certificador a las normas: ISO 9001:2015,  ISO 27001:2013 e ISO 22301:2019 </t>
    </r>
  </si>
  <si>
    <t>36.5 Gestionar planes de acción y solicitudes de acciones correctivas producto de la Auditoría Externa de seguimiento</t>
  </si>
  <si>
    <t>37. Evaluaciones de riesgos de los procesos de la ISO 9001:2015</t>
  </si>
  <si>
    <t xml:space="preserve">37.1 Revisión de los riesgos de los procesos (acciones para abordar riesgos y oportunidades) </t>
  </si>
  <si>
    <t>38. Evaluaciones de riesgos de los activos de la información de la ISO 27001:2013</t>
  </si>
  <si>
    <t>38.1 Realizar las evaluaciones de riesgos a los activos de información de los procesos incluidos en el alcance del Sistema de Gestión de Seguridad de la Información (SGSI)</t>
  </si>
  <si>
    <t>39. Marco Común de Evaluación (CAF) implmentado.</t>
  </si>
  <si>
    <t>39.1 Realizar el autodiagnóstico del Modelo en el SIUBEN e Informe de Autoevaluación</t>
  </si>
  <si>
    <t xml:space="preserve">40. Actualización y creacción de Documentos Controlados </t>
  </si>
  <si>
    <t>40.1 Crear o actualizar la información documentada  asegurando la transversalización de género de la información dodumentada y oficializar estos en el sistema documental</t>
  </si>
  <si>
    <t>41. Mantenimiento y Fortalecimiento del Plan de Continuidad de Negocios (ISO22301)</t>
  </si>
  <si>
    <t>41.2 Ejecución de los programas de ejercicios para validar la efectividad de las estrategias y soluciones de la continuidad de negocio, según el calendario establecido</t>
  </si>
  <si>
    <t xml:space="preserve">42. Seguimiento y monitoreo a los resultados de los indicadores de procesos y servicios comprometidos en la Carta Compromiso </t>
  </si>
  <si>
    <t>42.1 Redacción del informe trimestral de avances de indicadores del sistema de gestión</t>
  </si>
  <si>
    <r>
      <t xml:space="preserve">36.1 Relizar auditoría externa de </t>
    </r>
    <r>
      <rPr>
        <b/>
        <sz val="12"/>
        <color theme="1"/>
        <rFont val="Gotham"/>
      </rPr>
      <t>seguimiento II</t>
    </r>
    <r>
      <rPr>
        <sz val="12"/>
        <color theme="1"/>
        <rFont val="Gotham"/>
      </rPr>
      <t xml:space="preserve"> con el ente certificador a las normas: ISO 9001:2015,  ISO 27001:2013 e ISO 22301:2019 </t>
    </r>
  </si>
  <si>
    <r>
      <t>36.4 Realizar auditoría externa de</t>
    </r>
    <r>
      <rPr>
        <b/>
        <sz val="12"/>
        <color theme="1"/>
        <rFont val="Gotham"/>
      </rPr>
      <t xml:space="preserve"> Renovación-Recertificación</t>
    </r>
    <r>
      <rPr>
        <sz val="12"/>
        <color theme="1"/>
        <rFont val="Gotham"/>
      </rPr>
      <t xml:space="preserve"> con el ente certificador a las normas: ISO 9001:2015,  ISO 27001:2013 e ISO 22301:2019 </t>
    </r>
  </si>
  <si>
    <t>50. Campaña del Aniversario SIUBEN</t>
  </si>
  <si>
    <t>50.1 Elaborar y difundir campaña de comunicación de aniversario</t>
  </si>
  <si>
    <t>51. Implementación del Plan de Comunicación Interna y Externa con enfoque de género</t>
  </si>
  <si>
    <t xml:space="preserve">51.1 Implementar el Manual de Comunicación con enfoque de género </t>
  </si>
  <si>
    <t>52. Planes de capacitación y sensibilización ejecutados  (competencias y género)</t>
  </si>
  <si>
    <t>52.1  Elaborar plan de capacitación 2025</t>
  </si>
  <si>
    <t>52.3 Evaluar  de la eficacia de las capacitaciones programadas 2024</t>
  </si>
  <si>
    <t>52.2 Implementar  el plan de capacitación 2024</t>
  </si>
  <si>
    <t>53. Programa de capacitación para el levantamiento FIBE implementado</t>
  </si>
  <si>
    <t>53.1 Diseñar programa de capacitacion de acuerdo con la documentación y herramientas requeridas para el proceso</t>
  </si>
  <si>
    <t>53.2 Establecer el proceso de implentación de las capacitaciones en otras instituciones</t>
  </si>
  <si>
    <t>53.3 Gestionar contratación de proveedor para desarrollo de la plataforma y cargar contenido</t>
  </si>
  <si>
    <t>53.4 Probar la plataforma a traves de un piloto, para la validación de su efectividad.</t>
  </si>
  <si>
    <t>53.5 Capacitar equipos de emergencias</t>
  </si>
  <si>
    <t xml:space="preserve">54. Implementacion de plan de acción clima institucional </t>
  </si>
  <si>
    <t>54.1 Ejecucion del plan de acción sobre las áreas a fortalecer</t>
  </si>
  <si>
    <t>54.2 Realizar  en coordinación con el MAP la encuesta de clima laboral.</t>
  </si>
  <si>
    <t xml:space="preserve">54.3 Aplicar encuesta de clima organizacional </t>
  </si>
  <si>
    <t>55.  Evaluación de desempeño</t>
  </si>
  <si>
    <t>55.1 Elaborar de acuerdos de desempeño 2024</t>
  </si>
  <si>
    <t>55.2 Elaborar  acuerdos de desempeño 2024 de nuevos colaboradores o con cambios en su designación</t>
  </si>
  <si>
    <t>55.3 Dar seguimiento a los supervisores para completar las evaluaciones del desempeño del personal</t>
  </si>
  <si>
    <t>56. Beneficios e incentivos al personal</t>
  </si>
  <si>
    <t xml:space="preserve">56.1 Reconocimiento a colaboradores del trimestre </t>
  </si>
  <si>
    <t>56.2 Coordinacion de jornadas de salud</t>
  </si>
  <si>
    <t>57. Programa anual de  integración y comunicacion interna ejecutado a nivel nacional</t>
  </si>
  <si>
    <t>57.1 Día de las secretarias</t>
  </si>
  <si>
    <t>57.2 Día de las madres</t>
  </si>
  <si>
    <t>57.3 Día de los padres</t>
  </si>
  <si>
    <t>57.4 Aniversario SIUBEN</t>
  </si>
  <si>
    <t>57.5 Verano Divertido</t>
  </si>
  <si>
    <t>57.6 Dia de la no violencia contra la mujer</t>
  </si>
  <si>
    <t>57.7 Inauguración de la navidad</t>
  </si>
  <si>
    <t>58. Promover la igualdad de genero en la cultura institucional</t>
  </si>
  <si>
    <t>58.1 Aplicar encuesta al personal para diagnostico de sobre discriminacion y acoso</t>
  </si>
  <si>
    <t xml:space="preserve">58.2 Revisar y actualizar el analisis de brecha salarial y plan de acción incorporando observaciones de personal </t>
  </si>
  <si>
    <t>52.1 Implementar el plan de capacitación 2024</t>
  </si>
  <si>
    <t xml:space="preserve">54. Implementación del plan de acción de Clima Institucional </t>
  </si>
  <si>
    <t>54.1 Ejecución del plan de acción sobre las áreas a fortalecer</t>
  </si>
  <si>
    <t>55. Evaluación de desempeño</t>
  </si>
  <si>
    <t>55.1 Dar seguimiento a los supervisores para completar las evaluaciones del desempeño del personal</t>
  </si>
  <si>
    <t>56.1 Dar Reconocimiento a colaboradores/as</t>
  </si>
  <si>
    <t>56.2 Coordinar las jornadas de salud</t>
  </si>
  <si>
    <t>57. Programa anual de comunicación interna e integración ejecutado a nivel nacional</t>
  </si>
  <si>
    <t>57.4  Aniversario SIUBEN</t>
  </si>
  <si>
    <t>Annalisa Staffa</t>
  </si>
  <si>
    <t>Directora de Análisis de la Información</t>
  </si>
  <si>
    <t>Marlon Gálan</t>
  </si>
  <si>
    <t>Director de Operaciones</t>
  </si>
  <si>
    <t>Freddy Ochoa</t>
  </si>
  <si>
    <t>Encargado Departamento Revisión y Control del Dato</t>
  </si>
  <si>
    <t>Dario Antonio López Villar</t>
  </si>
  <si>
    <t>Altagracia Ramona Peralta</t>
  </si>
  <si>
    <t>Directora Administrativa y Financiera</t>
  </si>
  <si>
    <t>Nancy Castro</t>
  </si>
  <si>
    <t>Encargada de Calidad en la Gestión</t>
  </si>
  <si>
    <t>Carmela Jacobo Beras</t>
  </si>
  <si>
    <t>Encargada de Comunicaciones</t>
  </si>
  <si>
    <t>Luz Maria Quinones Garcia</t>
  </si>
  <si>
    <t>Encargada de Recursos Humanos</t>
  </si>
  <si>
    <t>Wilfredo Antonio Soto Castillo</t>
  </si>
  <si>
    <t>Director de Tecnología y Comunicaciones</t>
  </si>
  <si>
    <t>45.1  Enviar solicitud de Capacitación detallando el contenido del curso.</t>
  </si>
  <si>
    <t>45. Fortalecer el conocimiento del personal auditor en las normas ISO 27001 en su nueva versión y en la redacción de hallazgos.</t>
  </si>
  <si>
    <t xml:space="preserve">44.1 Completar formulario de evaluación de carta compromiso y recopilar evidencias. Actualizar la Carta Compromiso cuando aplique. </t>
  </si>
  <si>
    <t>44. Evaluación de la Carta Compromiso al ciudadano o ciudadana (CCC)</t>
  </si>
  <si>
    <t>43.1 Aplicar encuesta a Usuarios o usuarias Institucionales, elaborar informe de resultados y remitir al MAP.</t>
  </si>
  <si>
    <t>43. Encuesta de satisfacción de los servicios públicos en la Administración Pública -MAP</t>
  </si>
  <si>
    <r>
      <t>39.2 Elaborar Plan de Mejora del CAF</t>
    </r>
    <r>
      <rPr>
        <sz val="12"/>
        <rFont val="Gotham"/>
      </rPr>
      <t xml:space="preserve"> y monitorear su ejecución</t>
    </r>
  </si>
  <si>
    <t xml:space="preserve">Consultoría individual para preparar aplicativo informático del cuestionario ad hoc sobre movilidad humana </t>
  </si>
  <si>
    <t>Consultoría individual para preparar la plataforma virtual de capacitación en el cuestionario CISEH y en el aplicativo ad hoc de movilidad humana</t>
  </si>
  <si>
    <t>SAN Switch HPE Puertos</t>
  </si>
  <si>
    <t>No disponibilidad de datos a corregir y 
Padrón de la Junta Electoral desactualizado</t>
  </si>
  <si>
    <t>DEPARTAMENTO</t>
  </si>
  <si>
    <r>
      <t xml:space="preserve">16.1 Realizar levantamiento de solicitudes realizadas a través de los puntos solidarios de la </t>
    </r>
    <r>
      <rPr>
        <b/>
        <sz val="12"/>
        <color theme="1"/>
        <rFont val="Gotham"/>
      </rPr>
      <t>Regional Santo Domingo</t>
    </r>
  </si>
  <si>
    <r>
      <t>16.2 Realizar levantamiento de solicitudes realizadas a través de los puntos solidarios de la</t>
    </r>
    <r>
      <rPr>
        <b/>
        <sz val="12"/>
        <color theme="1"/>
        <rFont val="Gotham"/>
      </rPr>
      <t xml:space="preserve"> Regional Distrito</t>
    </r>
  </si>
  <si>
    <r>
      <t>16.3 Realizar levantamiento de solicitudes realizadas a través de los puntos solidarios de la</t>
    </r>
    <r>
      <rPr>
        <b/>
        <sz val="12"/>
        <color theme="1"/>
        <rFont val="Gotham"/>
      </rPr>
      <t xml:space="preserve"> Regional Este</t>
    </r>
  </si>
  <si>
    <r>
      <t xml:space="preserve">16.8 Realizar levantamiento de solicitudes realizadas a través de los puntos solidarios de la </t>
    </r>
    <r>
      <rPr>
        <b/>
        <sz val="12"/>
        <color theme="1"/>
        <rFont val="Gotham"/>
      </rPr>
      <t>Regional Noroeste</t>
    </r>
  </si>
  <si>
    <t>Plan de comunicación elaborado y/o propuesta revisada</t>
  </si>
  <si>
    <t>Informes y correos relacionados</t>
  </si>
  <si>
    <t>Alquileres</t>
  </si>
  <si>
    <t>No disponer de personal con las competencias para redactar notas de presa.</t>
  </si>
  <si>
    <t>No disponer de profesionales para realizar los seminarios SIUBEN+.</t>
  </si>
  <si>
    <t>Intervenciones de los periodistas que puedan afectar la imagen de la institución.</t>
  </si>
  <si>
    <t>No disponer del equipo técnico para producir videos de calidad.</t>
  </si>
  <si>
    <t>No disponer del personal necesario.</t>
  </si>
  <si>
    <t>No disponer de las herramientas y personal para el diseño de contenido digital.</t>
  </si>
  <si>
    <t>No disponer de las herramientas y personal para el diseño</t>
  </si>
  <si>
    <t>No se firmen convenios presenciales</t>
  </si>
  <si>
    <t>No disponer del personal y recursos necesarios de forma oportuna.</t>
  </si>
  <si>
    <t>Retraso por parte del cooperante para la contratación de la consultoría.</t>
  </si>
  <si>
    <t>Porcentaje de solicitudes respondidas a nivel nacional en el tiempo establecido (Solicitudes atendidas en menos de 45 días calendario/total de solicitudes procesadas en el periodo)</t>
  </si>
  <si>
    <t>Reporte Puntos Solidarios/ Dashbord  de seguimiento.</t>
  </si>
  <si>
    <t xml:space="preserve">Informes de levantamientos </t>
  </si>
  <si>
    <t>Porciento de cobertura en operativos de levantamientos (según asignación)</t>
  </si>
  <si>
    <t xml:space="preserve">16. Respondidas las solicitudes de Puntos Solidarios </t>
  </si>
  <si>
    <r>
      <t xml:space="preserve">16.4 Realizar levantamiento de solicitudes realizadas a través de los puntos solidarios de la </t>
    </r>
    <r>
      <rPr>
        <b/>
        <sz val="12"/>
        <color theme="1"/>
        <rFont val="Gotham"/>
      </rPr>
      <t>Regional Valdesia</t>
    </r>
  </si>
  <si>
    <r>
      <t xml:space="preserve">16.5 Realizar levantamiento de solicitudes realizadas a través de los puntos solidarios de la </t>
    </r>
    <r>
      <rPr>
        <b/>
        <sz val="12"/>
        <color theme="1"/>
        <rFont val="Gotham"/>
      </rPr>
      <t>Regional El Valle</t>
    </r>
  </si>
  <si>
    <r>
      <t xml:space="preserve">16.6 Realizar levantamiento de solicitudes realizadas a través de los puntos solidarios de la </t>
    </r>
    <r>
      <rPr>
        <b/>
        <sz val="12"/>
        <color theme="1"/>
        <rFont val="Gotham"/>
      </rPr>
      <t>Regional Enriquillo</t>
    </r>
  </si>
  <si>
    <r>
      <t xml:space="preserve">16.7 Realizar levantamiento de solicitudes realizadas a través de los puntos solidarios de la </t>
    </r>
    <r>
      <rPr>
        <b/>
        <sz val="12"/>
        <color theme="1"/>
        <rFont val="Gotham"/>
      </rPr>
      <t>Regional Nordesde</t>
    </r>
  </si>
  <si>
    <r>
      <t xml:space="preserve">16.9 Realizar levantamiento de solicitudes realizadas a través de los puntos solidarios de la </t>
    </r>
    <r>
      <rPr>
        <b/>
        <sz val="12"/>
        <color theme="1"/>
        <rFont val="Gotham"/>
      </rPr>
      <t>Regional Central</t>
    </r>
  </si>
  <si>
    <r>
      <t xml:space="preserve">16.10 Realizar levantamiento de solicitudes realizadas a través de los puntos solidarios de la </t>
    </r>
    <r>
      <rPr>
        <b/>
        <sz val="12"/>
        <color theme="1"/>
        <rFont val="Gotham"/>
      </rPr>
      <t>Regional Norcentral</t>
    </r>
  </si>
  <si>
    <t xml:space="preserve">Porcentaje de solicitudes pendientes en tiempo establecido (Solicitudes pendientes con menos de 45 dias /entre todas las solicitudes </t>
  </si>
  <si>
    <t xml:space="preserve">46. Fortalecimiento del posicionamiento institucional en los diferentes medios de comunicación </t>
  </si>
  <si>
    <t>47. Comunicación interna fortalecida</t>
  </si>
  <si>
    <t>48. Apoyo en la logística de los encuentros interinstitucionales internos y externos</t>
  </si>
  <si>
    <t>49. Campaña del Aniversario SIUBEN</t>
  </si>
  <si>
    <t>50. Implementación de la campañana de Comunicación Interna y Externa con enfoque de género</t>
  </si>
  <si>
    <t>51- Estrategia de comunicación de la plataforma Registrate dirigido a inmigrantes venezolanos en el marco del Proyecto de Respuesta Multisectorial a la Movilidad Humana.</t>
  </si>
  <si>
    <t xml:space="preserve"> 48. Apoyo en la logística de los encuentros interinstitucionales  internos y externo</t>
  </si>
  <si>
    <t>46.1 Elaborar informe donde se detallan todas las notas de prensa difundidas</t>
  </si>
  <si>
    <t>46.2 Coordinar eventos SIUBEN+ en conjunto con el área solicitante.
- Ejecutar los eventos solicitados</t>
  </si>
  <si>
    <t xml:space="preserve">47.1 Actualizar los murales institucionales </t>
  </si>
  <si>
    <t xml:space="preserve">47.2 Identificar y recopilar contenido a colocar
- Determinar contenido a colocar en murales digitales 
- Determinar temática, crear o recopilar contenido a
colocar en boletines institucionales.
- Diseño de contenido del boletín y publicación por los
medios
- Enviar por comunicación interna las publicaciones de los medios digitales  </t>
  </si>
  <si>
    <t>47.3 Producir los materiales digitales para publicaciones internas</t>
  </si>
  <si>
    <t>48.1 .- Coordinar eventos en conjunto con el área solicitante.
48.2. Ejecutar los eventos solicitados</t>
  </si>
  <si>
    <t>49.1 Realizar análisis inicial de necesidades de comunicación
49.2.  Operacionalizar las acciones de comunicación.                                                    49.3 Adaptar contenidos a plataformas mediáticas seleccionadas.
49.4. Ejecutar campaña</t>
  </si>
  <si>
    <t xml:space="preserve">50.1 Realizar análisis inicial de necesidades de comunicación
50.2.  Operacionalizar las acciones de comunicación. Adaptar
contenidos a plataformas mediáticas seleccionadas.
50.3. Ejecutar campaña de comunicación con enfoque de género </t>
  </si>
  <si>
    <t>51.1- Apoyo técnico a la consultoría.</t>
  </si>
  <si>
    <t>Evento realizado</t>
  </si>
  <si>
    <t>Invitaciones, fotos, evento, lista de participantes</t>
  </si>
  <si>
    <t>No disponer de la disponibilidad presupuestaria  requerida.</t>
  </si>
  <si>
    <t>46.3 Lanzamiento nuevos indices SIUBEN</t>
  </si>
  <si>
    <t>46.4 Realizar encuentros con periodistas</t>
  </si>
  <si>
    <t xml:space="preserve">46.5 Producir y subir material videográfico al canal de YouTube </t>
  </si>
  <si>
    <t>46.6 Coordinar los encuentros y/o actividades de la dirección general en los trimestres que aplique</t>
  </si>
  <si>
    <t xml:space="preserve">46.7 Diseñar y difundir de manera oportuna las efemerides relacionadas a la institución </t>
  </si>
  <si>
    <t>46.8 Recepción y análisis de las solicitudes para crear
contenidos 
- Conceptualizar temas, crear las plantillas y artes para la
publicación de las informaciones, y creación de los
contenidos
- Contenido aprobado y difundido por
parte del Departamento de Comunicaciones</t>
  </si>
  <si>
    <t>46.9 Diseñar manera oportuna la comunicación institucional sobre igualdad de género y Derecho de la Mujer 
- Contenido aprobado por el Comité de Género y difundido por
parte del Departamento de Comunicaciones</t>
  </si>
  <si>
    <t>46.3Lanzamiento nuevos indices SIUBEN</t>
  </si>
  <si>
    <t xml:space="preserve">47.2 Publicar los Boletines de noticias Siuben de manera digital, trimestral </t>
  </si>
  <si>
    <t>48.1 Coordinar actos y/o eventos protocolares de la institución</t>
  </si>
  <si>
    <t>Interoperabilidad Operando</t>
  </si>
  <si>
    <t>Porcentaje de implementacion de interoperabilidad</t>
  </si>
  <si>
    <t>No disponer de los recursos económicos e insumos necesarios para ejecutar este proceso.</t>
  </si>
  <si>
    <t>No disponer de personal necesario.</t>
  </si>
  <si>
    <t>Que este proceso no sea priorodad para las instituciones propuestas.</t>
  </si>
  <si>
    <t>Retraso del desembolso de los recursos económicos y/o adquisición de los insumos por parte de los proyectos de cooperación asociado.</t>
  </si>
  <si>
    <t>Retraso de la entidad reguladora en asignar personal auditor.</t>
  </si>
  <si>
    <t>Dirección Administrativa y Financiera</t>
  </si>
  <si>
    <t>Dirección de Análisis de informació socioeconómica</t>
  </si>
  <si>
    <t xml:space="preserve">Departamento Calidad en la Gestión </t>
  </si>
  <si>
    <t>Departamento Cartografía</t>
  </si>
  <si>
    <t>Departamento Comunicaciones</t>
  </si>
  <si>
    <t>Dirección de Operaciones</t>
  </si>
  <si>
    <t>Departamento de Planificación y Desarrollo</t>
  </si>
  <si>
    <t xml:space="preserve">Departamento de Recursos Humanos </t>
  </si>
  <si>
    <t>Departamento de Revisión y Control de Datos </t>
  </si>
  <si>
    <t>Dirección de Tecnología y Comunicación</t>
  </si>
  <si>
    <t>Distribución Presupuesto según fuente de financiamiento</t>
  </si>
  <si>
    <t>Falta de transporte / Falta de recursos económicos</t>
  </si>
  <si>
    <r>
      <t xml:space="preserve">16.11 Realizar levantamiento de solicitudes pendientes realizadas a través de los puntos solidarios de la </t>
    </r>
    <r>
      <rPr>
        <b/>
        <sz val="12"/>
        <color theme="1"/>
        <rFont val="Gotham"/>
      </rPr>
      <t>Regional Santo Domingo</t>
    </r>
  </si>
  <si>
    <r>
      <t>16.12 Realizar levantamiento de solicitudes pendientes realizadas a través de los puntos solidarios de la</t>
    </r>
    <r>
      <rPr>
        <b/>
        <sz val="12"/>
        <color theme="1"/>
        <rFont val="Gotham"/>
      </rPr>
      <t xml:space="preserve"> Regional Distrito</t>
    </r>
  </si>
  <si>
    <r>
      <t>16.13 Realizar levantamiento de solicitudes pendientes realizadas a través de los puntos solidarios de la</t>
    </r>
    <r>
      <rPr>
        <b/>
        <sz val="12"/>
        <color theme="1"/>
        <rFont val="Gotham"/>
      </rPr>
      <t xml:space="preserve"> Regional Este</t>
    </r>
  </si>
  <si>
    <r>
      <t xml:space="preserve">16.144 Realizar levantamiento de solicitudes pendientes realizadas a través de los puntos solidarios de la </t>
    </r>
    <r>
      <rPr>
        <b/>
        <sz val="12"/>
        <color theme="1"/>
        <rFont val="Gotham"/>
      </rPr>
      <t>Regional Valdesia</t>
    </r>
  </si>
  <si>
    <r>
      <t xml:space="preserve">16.15 Realizar levantamiento de solicitudes pendientes realizadas a través de los puntos solidarios de la </t>
    </r>
    <r>
      <rPr>
        <b/>
        <sz val="12"/>
        <color theme="1"/>
        <rFont val="Gotham"/>
      </rPr>
      <t>Regional El Valle</t>
    </r>
  </si>
  <si>
    <r>
      <t xml:space="preserve">16.16 Realizar levantamiento de solicitudes pendientes realizadas a través de los puntos solidarios de la </t>
    </r>
    <r>
      <rPr>
        <b/>
        <sz val="12"/>
        <color theme="1"/>
        <rFont val="Gotham"/>
      </rPr>
      <t>Regional Enriquillo</t>
    </r>
  </si>
  <si>
    <r>
      <t xml:space="preserve">16.17 Realizar levantamiento de solicitudes pendientes realizadas a través de los puntos solidarios de la </t>
    </r>
    <r>
      <rPr>
        <b/>
        <sz val="12"/>
        <color theme="1"/>
        <rFont val="Gotham"/>
      </rPr>
      <t>Regional Nordesde</t>
    </r>
  </si>
  <si>
    <r>
      <t xml:space="preserve">16.18 Realizar levantamiento de solicitudes pendientes realizadas a través de los puntos solidarios de la </t>
    </r>
    <r>
      <rPr>
        <b/>
        <sz val="12"/>
        <color theme="1"/>
        <rFont val="Gotham"/>
      </rPr>
      <t>Regional Noroeste</t>
    </r>
  </si>
  <si>
    <r>
      <t xml:space="preserve">16.19 Realizar levantamiento de solicitudes pendientes realizadas a través de los puntos solidarios de la </t>
    </r>
    <r>
      <rPr>
        <b/>
        <sz val="12"/>
        <color theme="1"/>
        <rFont val="Gotham"/>
      </rPr>
      <t>Regional Central</t>
    </r>
  </si>
  <si>
    <r>
      <t xml:space="preserve">16.20 Realizar levantamiento de solicitudes pendientes realizadas a través de los puntos solidarios de la </t>
    </r>
    <r>
      <rPr>
        <b/>
        <sz val="12"/>
        <color theme="1"/>
        <rFont val="Gotham"/>
      </rPr>
      <t>Regional Norcentral</t>
    </r>
  </si>
  <si>
    <r>
      <t xml:space="preserve">17.3 Realizar levantamientos asignados a la </t>
    </r>
    <r>
      <rPr>
        <b/>
        <sz val="12"/>
        <color theme="1"/>
        <rFont val="Gotham"/>
      </rPr>
      <t>Regional Santo Domingo</t>
    </r>
  </si>
  <si>
    <r>
      <t xml:space="preserve">17.4 Realizar levantamientos asignados a la </t>
    </r>
    <r>
      <rPr>
        <b/>
        <sz val="12"/>
        <color theme="1"/>
        <rFont val="Gotham"/>
      </rPr>
      <t xml:space="preserve"> Regional Distrito</t>
    </r>
  </si>
  <si>
    <r>
      <t xml:space="preserve">17.5 Realizar levantamientos asignados a la </t>
    </r>
    <r>
      <rPr>
        <b/>
        <sz val="12"/>
        <color theme="1"/>
        <rFont val="Gotham"/>
      </rPr>
      <t xml:space="preserve"> Regional Este</t>
    </r>
  </si>
  <si>
    <r>
      <t xml:space="preserve">17.6 Realizar levantamientos asignados a la  </t>
    </r>
    <r>
      <rPr>
        <b/>
        <sz val="12"/>
        <color theme="1"/>
        <rFont val="Gotham"/>
      </rPr>
      <t>Regional Valdesia</t>
    </r>
  </si>
  <si>
    <r>
      <t xml:space="preserve">17.7 Realizar levantamientos asignados a la  </t>
    </r>
    <r>
      <rPr>
        <b/>
        <sz val="12"/>
        <color theme="1"/>
        <rFont val="Gotham"/>
      </rPr>
      <t>Regional El Valle</t>
    </r>
  </si>
  <si>
    <r>
      <t xml:space="preserve">17.8 Realizar levantamientos asignados a la  </t>
    </r>
    <r>
      <rPr>
        <b/>
        <sz val="12"/>
        <color theme="1"/>
        <rFont val="Gotham"/>
      </rPr>
      <t>Regional Enriquillo</t>
    </r>
  </si>
  <si>
    <r>
      <t xml:space="preserve">17.9 Realizar levantamientos asignados a la  </t>
    </r>
    <r>
      <rPr>
        <b/>
        <sz val="12"/>
        <color theme="1"/>
        <rFont val="Gotham"/>
      </rPr>
      <t>Regional Nordesde</t>
    </r>
  </si>
  <si>
    <r>
      <t xml:space="preserve">17.10 Realizar levantamientos asignados a la  </t>
    </r>
    <r>
      <rPr>
        <b/>
        <sz val="12"/>
        <color theme="1"/>
        <rFont val="Gotham"/>
      </rPr>
      <t>Regional Noroeste</t>
    </r>
  </si>
  <si>
    <r>
      <t xml:space="preserve">17.11 Realizar levantamientos asignados a la  </t>
    </r>
    <r>
      <rPr>
        <b/>
        <sz val="12"/>
        <color theme="1"/>
        <rFont val="Gotham"/>
      </rPr>
      <t>Regional Central</t>
    </r>
  </si>
  <si>
    <r>
      <t xml:space="preserve">17.12 Realizar levantamientos asignados a la  </t>
    </r>
    <r>
      <rPr>
        <b/>
        <sz val="12"/>
        <color theme="1"/>
        <rFont val="Gotham"/>
      </rPr>
      <t>Regional Norcentral</t>
    </r>
  </si>
  <si>
    <t>17.13 Visitas a las oficinas regionales para monitoreo y seguimiento</t>
  </si>
  <si>
    <t xml:space="preserve">20.1 Realizar requerimiento para la mejora del desarrollo del Dashboard a la Dir. De TIC </t>
  </si>
  <si>
    <t>Jurídico</t>
  </si>
  <si>
    <t>Gobernanza y fortalecimiento institucional.</t>
  </si>
  <si>
    <t>Fortalecer el  marco legal, normativo y funcional del SIUBEN.</t>
  </si>
  <si>
    <t>Número de verificaciones realizadas a la matriz de legislación aplicable en los tiempos planificados.</t>
  </si>
  <si>
    <t>Matríz de legislacion aplicable al SIUBEN, correos electrónicos.</t>
  </si>
  <si>
    <t>Convenios formalizados (según hayan sido requeridos)</t>
  </si>
  <si>
    <t>Informe de actividades del Departamento Jurídico</t>
  </si>
  <si>
    <t>Contratos de compras y contrataciones públicas formalizados (según hayan sido requeridos)</t>
  </si>
  <si>
    <t>Procesos litigiosos gestionados ante tribunales</t>
  </si>
  <si>
    <t>Informe anual de litigios y procesos contenciosos</t>
  </si>
  <si>
    <t>Fortalecer el marco legal, normativo y funcional del SIUBEN.</t>
  </si>
  <si>
    <t>Servicio de certificación por notario público</t>
  </si>
  <si>
    <t xml:space="preserve">La provisión del servicio no es recurrente, sino que está sujeta a los requerimientos que se realicen según las circunstancias del momento. Por tal razón, el monto presupuestado será ejecutado según sean realizados los requerimientos. </t>
  </si>
  <si>
    <t>Definir con MEPyD y la ONE los pasos para la actualización del Mapa de pobreza.</t>
  </si>
  <si>
    <t>Informe Mapa de pobreza actualizado</t>
  </si>
  <si>
    <t>Mapa de pobreza actualizado</t>
  </si>
  <si>
    <t xml:space="preserve">Manzanas Selecionadas (Arcgis Online o SW MAPS) </t>
  </si>
  <si>
    <t>No contar con suficientes licencias de ArGis online</t>
  </si>
  <si>
    <t xml:space="preserve">Número de gráficos geoespaciales realizado </t>
  </si>
  <si>
    <t>No disponibilidad del equipo requerido.</t>
  </si>
  <si>
    <t>Verificar  las vías, edificaciones y manzanas utilizando imagenes satelitales (Google Earth) - Imprimir  mapas para los levantamientos y operativos en las diferentes regionales</t>
  </si>
  <si>
    <t xml:space="preserve">Actualizar las vías, edificaciones y manzanas y puntos de georreferencia en campo interior (6 técnicos de cartografía por 25 dias) </t>
  </si>
  <si>
    <t>18.4.2 Decender a campo para verificar y actualizar  las manzanas con cero viviendas (regionales Este, Nordeste, enriquillo, Noroeste, Central, Norcentral, El Valle) viaticos para 5 tecnicos de cartografía</t>
  </si>
  <si>
    <t>18.4.1 Decender a campo para verificar y actualizar  las manzanas con cero viviendas   (regionales Valdesia, Santo Domingo) viaticos para 5 tecnicos de cartografía</t>
  </si>
  <si>
    <t>18.2.2 Verificar en campo y actualizar  las manzanas con crecimiento poblacional de las vías y manzanas (regionales Este, Nordeste, enriquillo, Noroeste, Central, Norcentral, El Valle) viaticos para 5 tecnicos de cartografía</t>
  </si>
  <si>
    <t xml:space="preserve">18.2.1 Verificar en campo y actualizar  las manzanas con crecimiento de densidad poblacional y cambio de uso de suelo  (regionales Valdesia, Santo Domingo, Distrito Nacional) viaticos para 6 tecnicos de cartografía </t>
  </si>
  <si>
    <t>18.2 Verificar en campo y actualizar  las manzanas con crecimiento poblacional de las vías y manzanas a nivel nacional - Actualizar manzanas con crecimiento de densidad poblacional y cambio de uso de suelo</t>
  </si>
  <si>
    <t>18.1 Verificar  las vías, edificaciones y manzanas utilizando imagenes satelitales (Google Earth)</t>
  </si>
  <si>
    <t>13. Herramientas de recolección de datos de SIUBEN</t>
  </si>
  <si>
    <t>14. Adaptación del índice de desarrollo territorial
3A. Siuben 3</t>
  </si>
  <si>
    <t>15. Plataforma interactiva de mapas en línea (Webmapping) actualizada</t>
  </si>
  <si>
    <t xml:space="preserve">22. Análisis Geoespacial </t>
  </si>
  <si>
    <t xml:space="preserve">23. Actualización Cartográfica de Azua </t>
  </si>
  <si>
    <t xml:space="preserve">24. Representación geoespacial de hogares </t>
  </si>
  <si>
    <t xml:space="preserve">25. Automatización de la actualización Cartográfica </t>
  </si>
  <si>
    <t>26. Mapeo de zonas con alta probabilidad de inundaciones según IVACC</t>
  </si>
  <si>
    <t>27. Actualización Cartográfica en las provincias para el Apoyo a la Consolidación de un Sistema de Protección Social Inclusivo en RD</t>
  </si>
  <si>
    <t xml:space="preserve">28. Cartografía actualizada ONE </t>
  </si>
  <si>
    <t>29. Actualización del Mapa de Pobreza.</t>
  </si>
  <si>
    <t>28. Cartografía actualizada de la ONE adoptada.</t>
  </si>
  <si>
    <t>No disponibilidad presupuestaria</t>
  </si>
  <si>
    <t xml:space="preserve">Encargado Departamento de Cartografía </t>
  </si>
  <si>
    <t>21.1 Verificar las vías y manzanas utilizando imagenes satelitales (Google Earth)</t>
  </si>
  <si>
    <t xml:space="preserve">21.4 Verificar y actualizar en campo las manzanas con cero viviendas </t>
  </si>
  <si>
    <t xml:space="preserve">21.5 Verificar y actualizar en campo las manzanas del Paraje El Mamón del municipio San Antonio de Guerra. </t>
  </si>
  <si>
    <t>22.1 Realizar análisis geoespacial de cobertura SIUBEN</t>
  </si>
  <si>
    <t xml:space="preserve">23.1. Realizar la actualización Cartográfica de la provincia de Azua </t>
  </si>
  <si>
    <t>24.1. Realizar solicitud de las tablas y bases de datos a las Direcciones de Tecnología y a Análisis
24.2. Procesar la vinculación de las tablas a las capas cartográficas
24.3. Generar los mapas e indicadores de cobertura de registro y de entrega de beneficios
24.4. Probar la difusión de los productos obtenidos
24.5. Difundir las informaciones a través de un SIG (web Mapping) en colaboración con las áreas de Comunicaciones y Análisis</t>
  </si>
  <si>
    <t>25.1. Subir los shapefile correspondientes a las tabletas de cartografía
25.2. Realizar pruebas en oficina con usuarios gratuitos 
25.3. Realizar, con la Dirección General, una prueba piloto en un barrio de Santo Domingo o Distrito Nacional
25.4. Crear formularios para la recolección de datos cartográficos</t>
  </si>
  <si>
    <t>26.1. Elaborar los kmls de las zonas con alta probabilidad de inundaciones según el IVACC
26.2. Elaborar los planes de vuelo o misiones para determinar el tiempo que se estará en terreno
26.3. Descender al terreno para las tomas fotogramétricas ex ante del fenómeno
26.4. Realizar tomas fotogramétricas ex post del fenómeno
26.5. Elaborar mapas ortomasaicos con la aplicación de Agisoft Metashape</t>
  </si>
  <si>
    <t>27.1 Actualizar manzanas de la fase II del proyecto BID.</t>
  </si>
  <si>
    <t>28.1 Verificar las vías, edificaciones y manzanas utilizando imágenes satelitales (Google Earth)</t>
  </si>
  <si>
    <t xml:space="preserve">28.2 Verificar  las vías, edificaciones y manzanas  en campo (muestra Arcgis Online o SW MAPS)  </t>
  </si>
  <si>
    <t>29.1 Actualizar Mapa de pobreza</t>
  </si>
  <si>
    <t>59.1 Elaborar y difundir la matriz del Cumplimiento Legal</t>
  </si>
  <si>
    <t>60. Convenios interinstitucionales legalizados y formalizados conforme a la ley y normas vigentes.</t>
  </si>
  <si>
    <t>60.1 Elaborar convenios interinstitucionales requeridos por los canales establecidos y gestionar la formalización de dichos contratos.</t>
  </si>
  <si>
    <t>61. Contratos de compras y contrataciones públicas legalizados y formalizados conforme a la ley y normas vigentes.</t>
  </si>
  <si>
    <t>61.1 Elaborar contratos de compras y contrataciones públicas requeridos por los canales establecidos y gestionar la formalización de dichos contratos.</t>
  </si>
  <si>
    <t>62. Contratos y acuerdos laborales formalizados conforme a la ley y normas vigentes.</t>
  </si>
  <si>
    <t>62.1 Elaborar contratos y acuerdos laborales requeridos por los canales establecidos y gestionar la formalización de dichos contratos.</t>
  </si>
  <si>
    <t xml:space="preserve">63. Procesos litigiosos monitoreados </t>
  </si>
  <si>
    <t>63.1 Gestionar o asumir la representación del SIUBEN ante los tribunales de la República</t>
  </si>
  <si>
    <t>Manuel Emilio Santos Jimenez</t>
  </si>
  <si>
    <t>Encargado de Departamento Jurídico</t>
  </si>
  <si>
    <t xml:space="preserve">64. Plan Operativo Anual (POA) 2025 con objetivos, estratégias y resultados de género </t>
  </si>
  <si>
    <t>64.6 Taller de presentación POA 2025 al equipo gerencial</t>
  </si>
  <si>
    <t>64.1 Definir la estructura Programática, validando la producción de metas físicas e indicadores de la institución, de acuerdo con lo establecido por DIGEPRES.
64.2 Coordinar el levantamiento de la información para la elaboración del Plan Anual de Compras y Contrataciones 2025.
64.3 Actualizar los instrumentos para formulación POA.
64.4 Realizar taller de formulación POA 2025 con las áreas.
64.5 Dar asistencia técnica a las áreas organizacionales para la elaboración de los Planes Operativos Anuales (POA).</t>
  </si>
  <si>
    <t>64.7 Dar Seguimiento a la socialización y validación  (firma de POA) dentro de los respectivos equipos de trabajo de cada área.</t>
  </si>
  <si>
    <t>64.8 Consolidar las propuestas de planes de las áreas y elaboración del informe POA general SIUBEN.</t>
  </si>
  <si>
    <t>65. Memoria Institucional de Rendición de Cuentas 2024</t>
  </si>
  <si>
    <t>65.1 Gestión de la solicitud de la memoria del MINPRE.
65.2 Adecuación de los requerimientos acorde a la guía establecida para la solicitud de las memorias.
65.3 Seguimiento y asistencia técnica a las distintas áreas.
65.4 Depuración y compilación de los insumos recibidos.
65.5 Remisión de la memoria al MINPRE.</t>
  </si>
  <si>
    <t>66. Planificación Operativa Anual monitoreada y evaluada mensualmente</t>
  </si>
  <si>
    <t>66.1 Actualizar y remitir, a los departamentos, las herramientas de monitoreo y evaluación del POA.
66.2 Brindar asistencia técnica a las áreas organizacionales, sobre los insumos recibidos.
66.3  Revisar  y validar las matrices de monitoreo.
66.4 Elaborar los reportes e informes de monitoreo y evaluación POA.
66.5 Socializar informes generados según aplique.</t>
  </si>
  <si>
    <t>67. Planificación Estratégica 2021-2024 evaluada y actualizada</t>
  </si>
  <si>
    <t>67.1 Coordinar el proceso de revisión y/o actualización del contexto institucional y las partes interesadas.
67.2 Remitir a las áreas la solicitud de
evaluación y/o actualización de sus metas institucionales, así como la herramienta a ser utilizada en el proceso.
67.3 Revisar las matrices recibidas y validar las
actualizaciones solicitadas, retroalimentando al área con las observaciones identificadas.
67.4 Elaborar el Informe Anual de final del PEI, socializar con el equipo gerencial .                                  67.5 Realizar el taller anual del PEI 2021-2024</t>
  </si>
  <si>
    <t>68. Plan Estratégico 2025-2028</t>
  </si>
  <si>
    <t xml:space="preserve">68.1 Gestionar con el MEPyD el envío de la comunicación de inicio del proceso de formulación del PEI
68.2 Coordinar reuniones técnicas, mesas de trabajo, talleres y contacto vía web con actores involucrados en el contexto del SIUBEN
68.3 Consolidar la propuesta del plan en la plantilla enviada por el MEPyD
68.4 Enviar al MEPyD la versión final del plan estratégico
68.5 Gestionar con MEPyD la aprobación del PEI y el envio del comunicado de aprobación </t>
  </si>
  <si>
    <t>69. Sostenibilidad de la transversalización de género</t>
  </si>
  <si>
    <t>69.1 Elaborar Informes de igualdad de género</t>
  </si>
  <si>
    <t>69.2 Presentar cápsulas de género en la reunión gerencial</t>
  </si>
  <si>
    <t xml:space="preserve">69.3 Realizar actividades pro-igualdad de género </t>
  </si>
  <si>
    <t xml:space="preserve">69.4 Desarrollar  programa o iniciativa en conjunto con otras instituciones (con una gubernamental y una ASFL) en pro de promover la igualdad de género. </t>
  </si>
  <si>
    <t xml:space="preserve">69.5 Realizar talleres para mejorar la compresión del  enfoque de género en la institución </t>
  </si>
  <si>
    <t xml:space="preserve">69.6 Realizar convocatoria a la sociedad civil, sindicatos y organizaciones de mujeres para presentar las acciones del SIUBEN para promover la Igualdad de Género. </t>
  </si>
  <si>
    <t>69.7 Revisar y actualizar en caso de ser necesario los documentos institucionales vinculados a la igualdad de género  (Política de Igualdad de Género, Protocolo de Actuación en Caso de Violencia, Discriminación o Acoso y el Manual de Conciliación de la Vida Personal y Laboral)</t>
  </si>
  <si>
    <t>69.8 Realizar y enviar las capsulas  informativas con motivo del Día Naranja, 25 de cada mes</t>
  </si>
  <si>
    <t>70. Acuerdos y convenios de cooperación internacional negociados y/o firmados</t>
  </si>
  <si>
    <t>70.1 Identificar nuevas oportunidades de Cooperación, a través de diversos mecanismos como: convocatorias de cooperantes, espacios regionales, foros, reuniones, portales web, etc.
70.2 Elaborar documento Estratégico para el abordaje de fuentes y/u oportunidades de Cooperación
70.3 Definir y/o revisar y discutir técnicamente el documento de acuerdo o convenio a ser aprobado.
70.4 Negociación del acuerdo o convenio.
70.5 Firma, aprobación y/o lanzamiento del acuerdo o convenio.
70.6 Actualizar la Matriz de Cooperación</t>
  </si>
  <si>
    <t>71. Propuestas para el fortalecimiento de la Oferta de Cooperación</t>
  </si>
  <si>
    <t xml:space="preserve">71.1 Sistematizar nuevas experiencias de oferta.                                                                                                   71.2 Desarrollar una propuesta de un Catálogo.                                                                                                    71.3 Temático Compacto conformado por experiencias replicables en otros países o contextos
71.4  Elaboración de una propuesta </t>
  </si>
  <si>
    <t>72. Seguimiento y documentación de los proyectos de cooperación internacional</t>
  </si>
  <si>
    <t>72.1 Realizar informe de seguimiento de los proyectos de los organismos de cooperación</t>
  </si>
  <si>
    <t>73. Plan Operativo Anual de Cooperación Internacional 2025</t>
  </si>
  <si>
    <t xml:space="preserve">73.1 Presentar  y buscar aprobación de metodología para la elaboración del Plan Operativo de Cooperación Internacional
73.2 Realizar un levantamiento  de información de programas, proyectos, acciones de la Cooperación Internacional, compromisos y resultados de los espacios de diálogo
73.3 Elaborar el Plan Operativo de Cooperación Internacional 
73.4 Compartir el plan con las áreas involucradas </t>
  </si>
  <si>
    <t>74. Relaciones interinstitucionales fortalecidas</t>
  </si>
  <si>
    <t xml:space="preserve">74.1 Realizar informe de seguimiento de los convenios interinstitucionales </t>
  </si>
  <si>
    <t>75. Gestion del conocimiento</t>
  </si>
  <si>
    <t xml:space="preserve">75.1 Mantener la plataforma de gestión del conocimiento actualizada 
Difusión de los documentos colocados en la plataforma </t>
  </si>
  <si>
    <t xml:space="preserve">75.2 Difundir capsulas de la plataforma de gestión del conocimiento para incentivar su uso </t>
  </si>
  <si>
    <t xml:space="preserve">64. Plan Operativo Anual (POA) 2025 con objetivos, estratégias y resultados de género                                                                                                                                                                                                                                     </t>
  </si>
  <si>
    <t xml:space="preserve">
64.4 Realizar taller de formulación POA 2025 con las áreas.                                                           
</t>
  </si>
  <si>
    <t xml:space="preserve">68.2 Coordinar reuniones técnicas, mesas de trabajo, talleres y contacto vía web con actores involucrados en el contexto del SIUBEN
 </t>
  </si>
  <si>
    <t xml:space="preserve">13.1 Evaluar las herramientas de recolección utilizadas (Centro de llamada, Autorregistro, aplicativo CISEH -2023 y Regístrate para instituciones públicas) en busca de mejoras en la calidad de los datos recolectados.
13.2 Revisión periodica de los datos recolectados.                                                          13.3 Elaboración de preguntas para autorregístrate para instituciones.                                                                                                        13.4  Seguimiento en los procesos elaborados para implementar la herramiento de autorregístro para instituciones.                                                                                                       13.5 Supervición periodica de los datos levantados por autorregístate para instituciones. </t>
  </si>
  <si>
    <t>14.1 Adaptar la sintaxis
14.2 Realizar prueba en la base de datos
14.3 Corregir los errores (en el caso de ser detectados)
14.4 Validar e implementar la sintaxis</t>
  </si>
  <si>
    <t>15.1 Actualizar los datos del web mapping con los cortes actualizados de la base de datos SIUBEN</t>
  </si>
  <si>
    <t>Realizar levantamiento de solicitudes de los puntos solidarios en las diferentes regionales a nivel nacional</t>
  </si>
  <si>
    <t>Servicio de alquiler de escaners</t>
  </si>
  <si>
    <t>Combustible asignado</t>
  </si>
  <si>
    <t>Combustible para uso operativo</t>
  </si>
  <si>
    <t>Mantenimiento sistemas de cámaras de seguridad</t>
  </si>
  <si>
    <t>Letrero Regional Santo Domingo</t>
  </si>
  <si>
    <t xml:space="preserve">  </t>
  </si>
  <si>
    <t>Este producto esta en el marco de proyecto con el Banco Mundial de nombre "Fortalecimiento de la capacidad estadística e institucional para
una respuesta multisectorial a la movilidad humana en la República Dominicana"</t>
  </si>
  <si>
    <t>Este producto esta en el marco de proyecto con la AFD de nombre "Apoyo al fortalecimiento de la resiliencia de los sistemas de salud y protección social en República Dominicana de la Carribean Investment Facility -CIF-"</t>
  </si>
  <si>
    <t>API de integración funcionando, Informe del Mapeo</t>
  </si>
  <si>
    <t>Porcentaje de Desarrollo</t>
  </si>
  <si>
    <t xml:space="preserve">Porcentaje de Desarrollo del RUAS </t>
  </si>
  <si>
    <t>Certificaciones OGTIC</t>
  </si>
  <si>
    <t>Adquisición de computadoras y UPS para operaciones de interoperabilidad (40 unidades c/u)</t>
  </si>
  <si>
    <t>Adquisición de licencias informáticas Qlik y servicios de entrenamiento y acompañamiento (14 unidades)</t>
  </si>
  <si>
    <t xml:space="preserve">Adquisición de 42 terabytes en disco de estado sólido para almacenamiento de información </t>
  </si>
  <si>
    <t>Adquisición de servidores y licencias para almacenamiento de data (3 unidades)</t>
  </si>
  <si>
    <t xml:space="preserve">Adquisición e instalación de equipos para captura de datos de estudiantes e interoperabilidad entre centro educativo y el SIUBEN </t>
  </si>
  <si>
    <t>1- Adquisición y despliegue de equipos VPN redundantes.
2- Línea de comunicaciones plataforma Interoperabilidad.
3- Implementación de topologia VPN HUB and SPOKE.</t>
  </si>
  <si>
    <t>Consultoría para realizar mapeo y evaluación de la madurez y desarrollar el API de integración de base de datos institucionales del Servicio Nacional de Salud -SIUBEN</t>
  </si>
  <si>
    <t>PEP del proyecto codigo No. 1.1.2.1.15</t>
  </si>
  <si>
    <t>Renovacion ArcGis WebMapping           (1 año)</t>
  </si>
  <si>
    <t xml:space="preserve">Alquiler de Vehiculo </t>
  </si>
  <si>
    <t>76. Data WareHouse implementado</t>
  </si>
  <si>
    <t>76.1 Implementar el Data Warehouse</t>
  </si>
  <si>
    <t>77. Plataforma para el intercambio y cruce electrónico de datos administrativos operando</t>
  </si>
  <si>
    <t xml:space="preserve">77.1  Implementar la Plataforma para el intercambio y cruce electrónico de datos administrativos </t>
  </si>
  <si>
    <t>78. Portal de información de protección social operando</t>
  </si>
  <si>
    <t xml:space="preserve">78.1 Elaborar e implementar portal de información de protección social  </t>
  </si>
  <si>
    <t>79. Sistemas que fortalecen la plataforma tecnológica de la institución implementados</t>
  </si>
  <si>
    <t>79.1 Desarrollar e implementar un Aplicativo APK para levantamiento Ficha FIBE</t>
  </si>
  <si>
    <t xml:space="preserve">79.2 Plataforma Educativa de la Ficha Básica de Emergencia 
</t>
  </si>
  <si>
    <t>79.3  Implementar la automatización de los procesos del Sistema de Gestión Integrado (SGI)</t>
  </si>
  <si>
    <t>80. Renovación de la infraestructura tecnologica del SIUBEN</t>
  </si>
  <si>
    <t>80.1 Ejecutar el Cronograma de Mantenimiento Preventivo de Equipos</t>
  </si>
  <si>
    <t xml:space="preserve">80.2 Fortalecer el equipamiento tecnológico de almacenamiento y protección de la información en Oficinas regionales del SIUBEN.
</t>
  </si>
  <si>
    <t>80.3 Ejecutar el Cronograma de Mantenimiento del Centro de Datos SIUBEN</t>
  </si>
  <si>
    <t>80.4 Fortalecer la seguridad perimetral – Servicios Web, APIs, Interoperabildiad</t>
  </si>
  <si>
    <t>80.5  Fortalecer la infraestructura de las redes y comunicaciones</t>
  </si>
  <si>
    <t xml:space="preserve">81. Recertificaciones de Tecnologías de la Información y Comunicación obtenidas </t>
  </si>
  <si>
    <t>81.1  Gestionar la Recertificación en la NORTIC</t>
  </si>
  <si>
    <t>82. Registro Único de Beneficiarios</t>
  </si>
  <si>
    <t>82.1 Fortalecer la Interoperabilidad mediante la incorporacion de 8 nuevas entidades (SNS, CORASAN, y otras)</t>
  </si>
  <si>
    <t xml:space="preserve">83. Módulo ad hoc sobre movilidad humana </t>
  </si>
  <si>
    <t>83.1 Desarrollar e implemetar un módulo ad hoc para movilidad humana y capacitación para levantamiento.</t>
  </si>
  <si>
    <t>84. Plataforma para sistemas de identidad digital para empadronamiento de hogares sin documentos de identidad implementada</t>
  </si>
  <si>
    <t>84.1 Instalar una plataforma de  para sistemas de identidad digital para empadronamiento de hogares sin documentos de identidad e implementación de piloto</t>
  </si>
  <si>
    <t xml:space="preserve">85. Dashboards para mostrar la información agrupada del proyecto de movilidad humana 
</t>
  </si>
  <si>
    <t xml:space="preserve">85.1 Elaborar e implementar un dashboards del proyecto de movilidad humana
</t>
  </si>
  <si>
    <t xml:space="preserve">86. Sistema de levantamiento Estudio socioeconómico de hogares realizado
</t>
  </si>
  <si>
    <t xml:space="preserve">86.1 Desarrollar e implementar sistema para Dispositivos moviles para Estudio socioeconómico de hogares 
</t>
  </si>
  <si>
    <t xml:space="preserve">87. Desarrollo de la estrucura e instrumentos para el Registro Único de Afectados Sociales RUAS
</t>
  </si>
  <si>
    <t xml:space="preserve">87.1 Desarrollo de la estrucutura e instrumentos para el establecimiento del RUAS
</t>
  </si>
  <si>
    <t>88.1- Implementar mapeo, evaluación de la madurez  y desarrollar el API de integración de base de datos institucionales del Servicio Nacional de Salud - SIUBEN</t>
  </si>
  <si>
    <t>89. Implementar la interoperabilidad con institucionales vinculadas al Sistema Nacional de Emergencias</t>
  </si>
  <si>
    <t>90. Piloto de interoperabilidad con centros educativos con alta poblacion migrante</t>
  </si>
  <si>
    <t>90.1- Implemetar piloto de interoperabilidad con centros educativos con alta poblacion migrante</t>
  </si>
  <si>
    <t>91. Piloto de interoperabilidad con el Servicio Nacional de Salud -SNS</t>
  </si>
  <si>
    <t>91.1- Implemetar piloto de interoperabilidad con el Servicio Nacional de Salud -SNS</t>
  </si>
  <si>
    <t>76.1- Implementar el Data Warehouse</t>
  </si>
  <si>
    <t>80.2 Fortalecer el equipamiento tecnológico de almacenamiento y protección de la información en Oficinas regionales del SIUBEN.</t>
  </si>
  <si>
    <t>88. Mapeo evaluación de la madurez  y desarrollar el API de integración de base de datos institucionales del Servicio Nacional de Salud - SIUBEN</t>
  </si>
  <si>
    <t>88. Mapeo y evaluación de la madurez  y desarrollar el API de integración de base de datos institucionales del Servicio Nacional de Salud - SIUBEN</t>
  </si>
  <si>
    <t>2.2.5.9.02</t>
  </si>
  <si>
    <t>Costo Unitario / presupuesto asignado</t>
  </si>
  <si>
    <t xml:space="preserve"> Cooperacion Internacional acitivades No. 34 </t>
  </si>
  <si>
    <t xml:space="preserve">PEP del proyecto codigo No. 1.1.2.1.12 </t>
  </si>
  <si>
    <t>Presupuesto Nacional Asignado al SIUBEN</t>
  </si>
  <si>
    <t>Resumen</t>
  </si>
  <si>
    <t>Fuente de financiamiento</t>
  </si>
  <si>
    <t>Monto RD$</t>
  </si>
  <si>
    <t>Departamento Jurídico</t>
  </si>
  <si>
    <r>
      <rPr>
        <b/>
        <sz val="14"/>
        <color theme="1"/>
        <rFont val="Gotham"/>
      </rPr>
      <t xml:space="preserve">                                                            Presentación</t>
    </r>
    <r>
      <rPr>
        <sz val="11"/>
        <color theme="1"/>
        <rFont val="Gotham"/>
      </rPr>
      <t xml:space="preserve">
El Sistema Único de Beneficiarios (SIUBEN) es una institución del Gobierno Dominicano, creada por disposición del Poder Ejecutivo mediante el Decreto Número 1073-04 del 31 de agosto del 2004, a través del cual se declara de alto nivel nacional  su establecimiento, con el objetivo de identificar las familias elegibles para recibir los beneficios de los programas sociales  y subsidios que se efectúen con recursos públicos.
El </t>
    </r>
    <r>
      <rPr>
        <b/>
        <sz val="11"/>
        <color theme="1"/>
        <rFont val="Gotham"/>
      </rPr>
      <t>decreto 396-22</t>
    </r>
    <r>
      <rPr>
        <sz val="11"/>
        <color theme="1"/>
        <rFont val="Gotham"/>
      </rPr>
      <t xml:space="preserve"> modifica el artículo 1 del decreto 426-07, para que, a partir del </t>
    </r>
    <r>
      <rPr>
        <b/>
        <sz val="11"/>
        <color theme="1"/>
        <rFont val="Gotham"/>
      </rPr>
      <t>1 de enero de 2023</t>
    </r>
    <r>
      <rPr>
        <sz val="11"/>
        <color theme="1"/>
        <rFont val="Gotham"/>
      </rPr>
      <t>, disponga lo siguiente: “Se crea el Sistema Único de Beneficiarios (SIUBEN) como una dependencia del</t>
    </r>
    <r>
      <rPr>
        <b/>
        <sz val="11"/>
        <color theme="1"/>
        <rFont val="Gotham"/>
      </rPr>
      <t xml:space="preserve"> Ministerio de Economía, Planificación y Desarrollo</t>
    </r>
    <r>
      <rPr>
        <sz val="11"/>
        <color theme="1"/>
        <rFont val="Gotham"/>
      </rPr>
      <t xml:space="preserve">, cuya función es identificar, caracterizar, registrar y priorizar lasfamilias en condición de pobreza, que habitan en zonas geográficas identificadas en el Mapa de Pobreza y en zonas fuera del mismo, que resulten de interés para losfines de las políticas públicas”.
El Plan Operativo Anual (POA) es una herramienta de planificación institucional de corto plazo que refleja los productos y actividades que los diferentes departamentos se proponen llevar a cabo durante el período de un (1) año, considerando los lineamientos establecidos en el Plan Estratégico Institucional (PEI)  el cual  a su vez se alinea con el mandato en los decretos citados y las prioridades establecidas en el plan de la gestión gubernamental 2021-2024.
La planificación operativa, así como el monitoreo y seguimiento de la misma, se encuentra bajo la responsabilidad del Departamento de Planificación y Desarrollo, el cual coordina el proceso de formulación, monitoreo y evaluación de los planes, programas y proyectos con el involucramiento de los enlaces designados para el seguimiento a la planificación de cada departamento. En ese sentido, el equipo de Planificación y Desarrollo elabora el presente documento explicativo a fin de dar a conocer el curso de las acciones institucionales programadas para el año 2024.
El POA 2024, pretende potencializar el uso de la base de datos del SIUBEN por las instituciones que implementan políticas de protección social a los fines de generar conocimiento para potenciar las capacidades  de las instituciones tanto públicas como privadas. Otro elemento distintivo de este POA es la de cerrar las brechas de las solicitudes de punto solidario a nivel nacional. También en el año 2024 el SIUBEN se propone continuar con la transversalizar de género en todas sus operaciones, así como contribuir a disminuir la brecha de género en las políticas de protección social generando información oportuna y pertinentes para las tomas de decisiones.Con apoyo de la cooperación internacional se estaran realizando levantamientos de hogares en diferentes zonas del país, así como tambien el fortalecimiento tecnologico de la sede central y las regionales y el desarrollo de un Indice de Privaciones Territoriales.
Este plan también contempla 91 productos con un costo ascendente a doscientos millones doscientos cinco mil setecientos veintidós con 15/100 pesos (RD$200,205,722.15), de los cuales 66% (RD$131,579,148.15) corresponde a fondos de cooperación internacional y 34% (RD$68,826,574.00) corresponde a  fondos provenientes del presupuesto nacional.
                                                                                    </t>
    </r>
    <r>
      <rPr>
        <b/>
        <sz val="11"/>
        <color theme="1"/>
        <rFont val="Gotham"/>
      </rPr>
      <t>Jefrey Lizardo</t>
    </r>
    <r>
      <rPr>
        <sz val="11"/>
        <color theme="1"/>
        <rFont val="Gotham"/>
      </rPr>
      <t xml:space="preserve">
                                                                                   Director General
</t>
    </r>
  </si>
  <si>
    <t>59. Cumplimiento legal institucional monitoreado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</si>
</sst>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quot;RD$&quot;* #,##0.00_);_(&quot;RD$&quot;* \(#,##0.00\);_(&quot;RD$&quot;* &quot;-&quot;??_);_(@_)"/>
    <numFmt numFmtId="165" formatCode="&quot;$&quot;#,##0.00"/>
    <numFmt numFmtId="166" formatCode="&quot;RD$&quot;#,##0.00"/>
    <numFmt numFmtId="167" formatCode="_(* #,##0_);_(* \(#,##0\);_(* &quot;-&quot;??_);_(@_)"/>
    <numFmt numFmtId="168" formatCode="\$#,##0.00"/>
    <numFmt numFmtId="169" formatCode="_(* #,##0.00_);_(* \(#,##0.00\);_(* \-??_);_(@_)"/>
    <numFmt numFmtId="170" formatCode="_([$$-1C0A]* #,##0.00_);_([$$-1C0A]* \(#,##0.00\);_([$$-1C0A]* &quot;-&quot;??_);_(@_)"/>
    <numFmt numFmtId="171" formatCode="&quot;$&quot;#,##0"/>
  </numFmts>
  <fonts count="75" x14ac:knownFonts="1">
    <font>
      <sz val="11"/>
      <color theme="1"/>
      <name val="Calibri"/>
      <family val="2"/>
      <scheme val="minor"/>
    </font>
    <font>
      <sz val="12"/>
      <color theme="1"/>
      <name val="Calibri"/>
      <family val="2"/>
      <scheme val="minor"/>
    </font>
    <font>
      <sz val="11"/>
      <color theme="1"/>
      <name val="Calibri"/>
      <family val="2"/>
      <scheme val="minor"/>
    </font>
    <font>
      <b/>
      <sz val="16"/>
      <color theme="1"/>
      <name val="Gotham"/>
    </font>
    <font>
      <sz val="11"/>
      <color theme="1"/>
      <name val="Gotham"/>
    </font>
    <font>
      <b/>
      <sz val="12"/>
      <color theme="0"/>
      <name val="Gotham"/>
    </font>
    <font>
      <b/>
      <sz val="11"/>
      <color theme="1"/>
      <name val="Gotham"/>
    </font>
    <font>
      <sz val="12"/>
      <color theme="1"/>
      <name val="Gotham"/>
    </font>
    <font>
      <sz val="12"/>
      <name val="Gotham"/>
    </font>
    <font>
      <sz val="11"/>
      <name val="Gotham"/>
    </font>
    <font>
      <b/>
      <sz val="12"/>
      <name val="Gotham"/>
    </font>
    <font>
      <sz val="11"/>
      <color rgb="FF000000"/>
      <name val="Gotham"/>
    </font>
    <font>
      <b/>
      <sz val="16"/>
      <color rgb="FF000000"/>
      <name val="Gotham"/>
    </font>
    <font>
      <sz val="12"/>
      <color rgb="FF000000"/>
      <name val="Gotham"/>
    </font>
    <font>
      <sz val="10"/>
      <color rgb="FF000000"/>
      <name val="Gotham"/>
    </font>
    <font>
      <sz val="10"/>
      <color theme="1"/>
      <name val="Calibri"/>
      <family val="2"/>
      <scheme val="minor"/>
    </font>
    <font>
      <b/>
      <sz val="16"/>
      <color theme="1"/>
      <name val="Calibri"/>
      <family val="2"/>
      <scheme val="minor"/>
    </font>
    <font>
      <sz val="11"/>
      <color rgb="FF0070C0"/>
      <name val="Gotham"/>
    </font>
    <font>
      <sz val="11"/>
      <color rgb="FF0070C0"/>
      <name val="Calibri"/>
      <family val="2"/>
      <scheme val="minor"/>
    </font>
    <font>
      <sz val="11"/>
      <color rgb="FFFF0000"/>
      <name val="Gotham"/>
    </font>
    <font>
      <b/>
      <sz val="11"/>
      <color rgb="FF7030A0"/>
      <name val="Gotham"/>
    </font>
    <font>
      <sz val="11"/>
      <color rgb="FF000000"/>
      <name val="Calibri"/>
      <family val="2"/>
      <charset val="1"/>
    </font>
    <font>
      <b/>
      <sz val="12"/>
      <color rgb="FFFFFFFF"/>
      <name val="Gotham"/>
    </font>
    <font>
      <b/>
      <sz val="11"/>
      <color rgb="FF000000"/>
      <name val="Gotham"/>
    </font>
    <font>
      <sz val="9"/>
      <color indexed="81"/>
      <name val="Tahoma"/>
      <family val="2"/>
    </font>
    <font>
      <b/>
      <sz val="8"/>
      <color theme="1"/>
      <name val="Calibri"/>
      <family val="2"/>
      <scheme val="minor"/>
    </font>
    <font>
      <sz val="8"/>
      <color theme="1"/>
      <name val="Calibri"/>
      <family val="2"/>
      <scheme val="minor"/>
    </font>
    <font>
      <sz val="8"/>
      <color rgb="FFFF0000"/>
      <name val="Calibri"/>
      <family val="2"/>
      <scheme val="minor"/>
    </font>
    <font>
      <sz val="8"/>
      <color theme="1"/>
      <name val="Gotham"/>
    </font>
    <font>
      <sz val="10"/>
      <color theme="1"/>
      <name val="Gotham"/>
    </font>
    <font>
      <sz val="14"/>
      <color theme="1"/>
      <name val="Artifex CF"/>
      <family val="3"/>
    </font>
    <font>
      <sz val="10"/>
      <name val="Gotham"/>
    </font>
    <font>
      <b/>
      <sz val="10"/>
      <color theme="0"/>
      <name val="Calibri"/>
      <family val="2"/>
      <scheme val="minor"/>
    </font>
    <font>
      <sz val="16"/>
      <color theme="1"/>
      <name val="Gotham"/>
    </font>
    <font>
      <b/>
      <sz val="18"/>
      <color indexed="81"/>
      <name val="Tahoma"/>
      <family val="2"/>
    </font>
    <font>
      <sz val="18"/>
      <color indexed="81"/>
      <name val="Tahoma"/>
      <family val="2"/>
    </font>
    <font>
      <b/>
      <sz val="16"/>
      <color theme="1"/>
      <name val="Artifex CF"/>
      <family val="3"/>
    </font>
    <font>
      <b/>
      <sz val="18"/>
      <color theme="1"/>
      <name val="Artifex CF"/>
      <family val="3"/>
    </font>
    <font>
      <b/>
      <sz val="12"/>
      <color theme="1"/>
      <name val="Gotham"/>
    </font>
    <font>
      <b/>
      <sz val="14"/>
      <color theme="1"/>
      <name val="Gotham"/>
    </font>
    <font>
      <sz val="12"/>
      <color rgb="FF0070C0"/>
      <name val="Gotham"/>
    </font>
    <font>
      <sz val="12"/>
      <color rgb="FFFF0000"/>
      <name val="Gotham"/>
    </font>
    <font>
      <sz val="11"/>
      <name val="Calibri"/>
      <family val="2"/>
      <scheme val="minor"/>
    </font>
    <font>
      <sz val="12"/>
      <color theme="1"/>
      <name val="Calibri"/>
      <family val="2"/>
      <scheme val="minor"/>
    </font>
    <font>
      <sz val="16"/>
      <color theme="1"/>
      <name val="Artifex CF"/>
      <family val="3"/>
    </font>
    <font>
      <b/>
      <sz val="16"/>
      <color rgb="FF000000"/>
      <name val="Artifex CF"/>
      <family val="3"/>
    </font>
    <font>
      <sz val="12"/>
      <color theme="0"/>
      <name val="Gotham"/>
    </font>
    <font>
      <b/>
      <sz val="11"/>
      <color rgb="FFFF0000"/>
      <name val="Gotham"/>
    </font>
    <font>
      <b/>
      <sz val="11"/>
      <color rgb="FF0070C0"/>
      <name val="Gotham"/>
    </font>
    <font>
      <b/>
      <sz val="11"/>
      <color rgb="FF002060"/>
      <name val="Gotham"/>
    </font>
    <font>
      <sz val="11"/>
      <color theme="0"/>
      <name val="Gotham"/>
    </font>
    <font>
      <b/>
      <sz val="11"/>
      <color theme="0"/>
      <name val="Gotham"/>
    </font>
    <font>
      <b/>
      <sz val="12"/>
      <color rgb="FF000000"/>
      <name val="Gotham"/>
    </font>
    <font>
      <b/>
      <sz val="12"/>
      <color theme="0"/>
      <name val="Artifex CF"/>
      <family val="3"/>
    </font>
    <font>
      <sz val="8"/>
      <name val="Calibri"/>
      <family val="2"/>
      <scheme val="minor"/>
    </font>
    <font>
      <sz val="10"/>
      <color rgb="FF000000"/>
      <name val="Bookman Old Style"/>
      <family val="1"/>
    </font>
    <font>
      <b/>
      <sz val="10"/>
      <color theme="0"/>
      <name val="Gotham"/>
    </font>
    <font>
      <b/>
      <sz val="10"/>
      <color theme="1"/>
      <name val="Gotham"/>
    </font>
    <font>
      <sz val="10"/>
      <color theme="0"/>
      <name val="Gotham"/>
    </font>
    <font>
      <sz val="11"/>
      <color rgb="FF444746"/>
      <name val="Courier New"/>
      <family val="3"/>
    </font>
    <font>
      <b/>
      <sz val="16"/>
      <color rgb="FF000000"/>
      <name val="Tahoma"/>
      <family val="2"/>
    </font>
    <font>
      <sz val="16"/>
      <color rgb="FF000000"/>
      <name val="Tahoma"/>
      <family val="2"/>
    </font>
    <font>
      <b/>
      <sz val="14"/>
      <color rgb="FF000000"/>
      <name val="Tahoma"/>
      <family val="2"/>
    </font>
    <font>
      <sz val="14"/>
      <color rgb="FF000000"/>
      <name val="Tahoma"/>
      <family val="2"/>
    </font>
    <font>
      <sz val="9"/>
      <color rgb="FF000000"/>
      <name val="Tahoma"/>
      <family val="2"/>
    </font>
    <font>
      <b/>
      <sz val="12"/>
      <color theme="1"/>
      <name val="Calibri"/>
      <family val="2"/>
      <scheme val="minor"/>
    </font>
    <font>
      <sz val="14"/>
      <name val="Gotham"/>
    </font>
    <font>
      <sz val="14"/>
      <color theme="1"/>
      <name val="Calibri"/>
      <family val="2"/>
      <scheme val="minor"/>
    </font>
    <font>
      <b/>
      <sz val="14"/>
      <color theme="0"/>
      <name val="Gotham"/>
    </font>
    <font>
      <sz val="14"/>
      <color theme="1"/>
      <name val="Gotham"/>
    </font>
    <font>
      <sz val="14"/>
      <color rgb="FF0070C0"/>
      <name val="Gotham"/>
    </font>
    <font>
      <sz val="14"/>
      <color rgb="FFFF0000"/>
      <name val="Gotham"/>
    </font>
    <font>
      <sz val="8"/>
      <color theme="1"/>
      <name val="Artifex CF"/>
      <family val="3"/>
    </font>
    <font>
      <sz val="8"/>
      <color rgb="FFFF0000"/>
      <name val="Artifex CF"/>
      <family val="3"/>
    </font>
    <font>
      <b/>
      <sz val="11"/>
      <name val="Calibri"/>
      <family val="2"/>
      <scheme val="minor"/>
    </font>
  </fonts>
  <fills count="3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8"/>
        <bgColor theme="8"/>
      </patternFill>
    </fill>
    <fill>
      <patternFill patternType="solid">
        <fgColor theme="0" tint="-0.14999847407452621"/>
        <bgColor rgb="FF000000"/>
      </patternFill>
    </fill>
    <fill>
      <patternFill patternType="solid">
        <fgColor rgb="FFD9D9D9"/>
        <bgColor rgb="FFC0C0C0"/>
      </patternFill>
    </fill>
    <fill>
      <patternFill patternType="solid">
        <fgColor theme="0"/>
        <bgColor rgb="FFC0C0C0"/>
      </patternFill>
    </fill>
    <fill>
      <patternFill patternType="solid">
        <fgColor rgb="FFFFFFFF"/>
        <bgColor rgb="FFFFFFCC"/>
      </patternFill>
    </fill>
    <fill>
      <patternFill patternType="solid">
        <fgColor theme="0" tint="-0.14999847407452621"/>
        <bgColor rgb="FFFFFFCC"/>
      </patternFill>
    </fill>
    <fill>
      <patternFill patternType="solid">
        <fgColor theme="0" tint="-0.14999847407452621"/>
        <bgColor rgb="FFC0C0C0"/>
      </patternFill>
    </fill>
    <fill>
      <patternFill patternType="solid">
        <fgColor theme="0"/>
        <bgColor rgb="FFFFFFCC"/>
      </patternFill>
    </fill>
    <fill>
      <patternFill patternType="solid">
        <fgColor theme="0"/>
        <bgColor rgb="FFFFFF00"/>
      </patternFill>
    </fill>
    <fill>
      <patternFill patternType="solid">
        <fgColor theme="0" tint="-0.14999847407452621"/>
        <bgColor rgb="FFFFFF00"/>
      </patternFill>
    </fill>
    <fill>
      <patternFill patternType="solid">
        <fgColor theme="2"/>
        <bgColor indexed="64"/>
      </patternFill>
    </fill>
    <fill>
      <patternFill patternType="solid">
        <fgColor theme="0"/>
        <bgColor rgb="FF000000"/>
      </patternFill>
    </fill>
    <fill>
      <patternFill patternType="solid">
        <fgColor theme="8" tint="-0.499984740745262"/>
        <bgColor indexed="64"/>
      </patternFill>
    </fill>
    <fill>
      <patternFill patternType="solid">
        <fgColor theme="8" tint="-0.499984740745262"/>
        <bgColor theme="8"/>
      </patternFill>
    </fill>
    <fill>
      <patternFill patternType="solid">
        <fgColor theme="8" tint="-0.499984740745262"/>
        <bgColor rgb="FF5B9BD5"/>
      </patternFill>
    </fill>
    <fill>
      <patternFill patternType="solid">
        <fgColor theme="8" tint="-0.499984740745262"/>
        <bgColor rgb="FF000000"/>
      </patternFill>
    </fill>
    <fill>
      <patternFill patternType="solid">
        <fgColor theme="8" tint="-0.499984740745262"/>
        <bgColor rgb="FF008080"/>
      </patternFill>
    </fill>
    <fill>
      <patternFill patternType="solid">
        <fgColor rgb="FF0070C0"/>
        <bgColor indexed="64"/>
      </patternFill>
    </fill>
    <fill>
      <patternFill patternType="solid">
        <fgColor rgb="FFFFFFFF"/>
        <bgColor indexed="64"/>
      </patternFill>
    </fill>
    <fill>
      <patternFill patternType="solid">
        <fgColor rgb="FFE7E6E6"/>
        <bgColor indexed="64"/>
      </patternFill>
    </fill>
    <fill>
      <patternFill patternType="solid">
        <fgColor rgb="FFD9D9D9"/>
        <bgColor rgb="FFFFFFCC"/>
      </patternFill>
    </fill>
    <fill>
      <patternFill patternType="solid">
        <fgColor rgb="FFD9D9D9"/>
        <bgColor indexed="64"/>
      </patternFill>
    </fill>
    <fill>
      <patternFill patternType="solid">
        <fgColor rgb="FFD9D9D9"/>
        <bgColor rgb="FFFFFF00"/>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rgb="FF000000"/>
      </right>
      <top/>
      <bottom style="thin">
        <color rgb="FF000000"/>
      </bottom>
      <diagonal/>
    </border>
    <border>
      <left/>
      <right style="thin">
        <color indexed="64"/>
      </right>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s>
  <cellStyleXfs count="11">
    <xf numFmtId="0" fontId="0" fillId="0" borderId="0"/>
    <xf numFmtId="43"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1" fillId="0" borderId="0"/>
    <xf numFmtId="169" fontId="21" fillId="0" borderId="0" applyBorder="0" applyProtection="0"/>
    <xf numFmtId="0" fontId="21" fillId="0" borderId="0"/>
    <xf numFmtId="44"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cellStyleXfs>
  <cellXfs count="1104">
    <xf numFmtId="0" fontId="0" fillId="0" borderId="0" xfId="0"/>
    <xf numFmtId="0" fontId="3" fillId="0" borderId="0" xfId="0" applyFont="1" applyAlignment="1">
      <alignment horizontal="center"/>
    </xf>
    <xf numFmtId="0" fontId="4" fillId="0" borderId="0" xfId="0" applyFont="1"/>
    <xf numFmtId="0" fontId="3" fillId="0" borderId="0" xfId="0" applyFont="1" applyAlignment="1">
      <alignment horizontal="center" wrapText="1"/>
    </xf>
    <xf numFmtId="0" fontId="4" fillId="0" borderId="0" xfId="0" applyFont="1" applyAlignment="1">
      <alignment vertical="center" wrapText="1"/>
    </xf>
    <xf numFmtId="0" fontId="4" fillId="0" borderId="0" xfId="0" applyFont="1" applyAlignment="1">
      <alignment wrapText="1"/>
    </xf>
    <xf numFmtId="0" fontId="4" fillId="3" borderId="0" xfId="0" applyFont="1" applyFill="1"/>
    <xf numFmtId="165" fontId="4" fillId="3" borderId="0" xfId="0" applyNumberFormat="1" applyFont="1" applyFill="1"/>
    <xf numFmtId="0" fontId="4" fillId="0" borderId="0" xfId="0" applyFont="1" applyAlignment="1">
      <alignment horizontal="center" vertical="center"/>
    </xf>
    <xf numFmtId="0" fontId="4" fillId="0" borderId="0" xfId="0" applyFont="1" applyAlignment="1">
      <alignment horizontal="center" wrapText="1"/>
    </xf>
    <xf numFmtId="0" fontId="11" fillId="0" borderId="0" xfId="0" applyFont="1"/>
    <xf numFmtId="0" fontId="12" fillId="0" borderId="0" xfId="0" applyFont="1" applyAlignment="1">
      <alignment horizontal="center"/>
    </xf>
    <xf numFmtId="0" fontId="14" fillId="0" borderId="0" xfId="0" applyFont="1"/>
    <xf numFmtId="0" fontId="15" fillId="0" borderId="0" xfId="0" applyFont="1"/>
    <xf numFmtId="0" fontId="4" fillId="0" borderId="0" xfId="0" applyFont="1" applyAlignment="1">
      <alignment horizontal="center"/>
    </xf>
    <xf numFmtId="0" fontId="0" fillId="0" borderId="0" xfId="0" applyAlignment="1">
      <alignment horizontal="center"/>
    </xf>
    <xf numFmtId="43" fontId="0" fillId="0" borderId="0" xfId="1" applyFont="1"/>
    <xf numFmtId="0" fontId="16" fillId="0" borderId="0" xfId="0" applyFont="1" applyAlignment="1">
      <alignment horizontal="center"/>
    </xf>
    <xf numFmtId="0" fontId="0" fillId="0" borderId="0" xfId="0" applyAlignment="1">
      <alignment vertical="center" wrapText="1"/>
    </xf>
    <xf numFmtId="0" fontId="18" fillId="0" borderId="0" xfId="0" applyFont="1"/>
    <xf numFmtId="0" fontId="4" fillId="0" borderId="4" xfId="0" applyFont="1" applyBorder="1"/>
    <xf numFmtId="0" fontId="4" fillId="0" borderId="1" xfId="0" applyFont="1" applyBorder="1"/>
    <xf numFmtId="165" fontId="20" fillId="0" borderId="0" xfId="0" applyNumberFormat="1" applyFont="1" applyAlignment="1">
      <alignment vertical="center"/>
    </xf>
    <xf numFmtId="167" fontId="19" fillId="3" borderId="0" xfId="0" applyNumberFormat="1" applyFont="1" applyFill="1" applyAlignment="1">
      <alignment horizontal="center" vertical="center"/>
    </xf>
    <xf numFmtId="0" fontId="6" fillId="0" borderId="0" xfId="0" applyFont="1" applyAlignment="1">
      <alignment horizontal="center" vertical="center"/>
    </xf>
    <xf numFmtId="0" fontId="12" fillId="0" borderId="0" xfId="4" applyFont="1" applyAlignment="1">
      <alignment horizontal="center"/>
    </xf>
    <xf numFmtId="0" fontId="11" fillId="0" borderId="0" xfId="4" applyFont="1"/>
    <xf numFmtId="0" fontId="12" fillId="0" borderId="0" xfId="4" applyFont="1" applyAlignment="1">
      <alignment horizontal="center" wrapText="1"/>
    </xf>
    <xf numFmtId="0" fontId="11" fillId="0" borderId="0" xfId="4" applyFont="1" applyAlignment="1">
      <alignment vertical="center" wrapText="1"/>
    </xf>
    <xf numFmtId="0" fontId="11" fillId="3" borderId="0" xfId="4" applyFont="1" applyFill="1"/>
    <xf numFmtId="0" fontId="11" fillId="0" borderId="0" xfId="4" applyFont="1" applyAlignment="1">
      <alignment wrapText="1"/>
    </xf>
    <xf numFmtId="0" fontId="11" fillId="11" borderId="0" xfId="4" applyFont="1" applyFill="1"/>
    <xf numFmtId="0" fontId="13" fillId="11" borderId="0" xfId="4" applyFont="1" applyFill="1"/>
    <xf numFmtId="0" fontId="13" fillId="0" borderId="0" xfId="4" applyFont="1"/>
    <xf numFmtId="0" fontId="11" fillId="11" borderId="0" xfId="4" applyFont="1" applyFill="1" applyAlignment="1">
      <alignment vertical="center" wrapText="1"/>
    </xf>
    <xf numFmtId="0" fontId="8" fillId="9" borderId="1" xfId="4" applyFont="1" applyFill="1" applyBorder="1" applyAlignment="1">
      <alignment horizontal="center" vertical="center" wrapText="1"/>
    </xf>
    <xf numFmtId="0" fontId="9" fillId="11" borderId="0" xfId="4" applyFont="1" applyFill="1"/>
    <xf numFmtId="0" fontId="9" fillId="11" borderId="1" xfId="4" applyFont="1" applyFill="1" applyBorder="1"/>
    <xf numFmtId="0" fontId="11" fillId="11" borderId="0" xfId="4" applyFont="1" applyFill="1" applyAlignment="1">
      <alignment wrapText="1"/>
    </xf>
    <xf numFmtId="0" fontId="11" fillId="11" borderId="1" xfId="4" applyFont="1" applyFill="1" applyBorder="1"/>
    <xf numFmtId="0" fontId="8" fillId="13" borderId="1" xfId="4" applyFont="1" applyFill="1" applyBorder="1" applyAlignment="1">
      <alignment horizontal="center" vertical="center" wrapText="1"/>
    </xf>
    <xf numFmtId="0" fontId="8" fillId="12" borderId="1" xfId="4" applyFont="1" applyFill="1" applyBorder="1" applyAlignment="1">
      <alignment horizontal="center" vertical="center"/>
    </xf>
    <xf numFmtId="1" fontId="8" fillId="12" borderId="1" xfId="4" applyNumberFormat="1" applyFont="1" applyFill="1" applyBorder="1" applyAlignment="1">
      <alignment horizontal="center" vertical="center" wrapText="1"/>
    </xf>
    <xf numFmtId="0" fontId="8" fillId="14" borderId="1" xfId="4" applyFont="1" applyFill="1" applyBorder="1" applyAlignment="1">
      <alignment horizontal="center" vertical="center" wrapText="1"/>
    </xf>
    <xf numFmtId="0" fontId="8" fillId="10" borderId="1" xfId="4" applyFont="1" applyFill="1" applyBorder="1" applyAlignment="1">
      <alignment horizontal="center" vertical="center"/>
    </xf>
    <xf numFmtId="0" fontId="8" fillId="10" borderId="1" xfId="4" applyFont="1" applyFill="1" applyBorder="1" applyAlignment="1">
      <alignment vertical="center" wrapText="1"/>
    </xf>
    <xf numFmtId="0" fontId="13" fillId="14" borderId="1" xfId="6" applyFont="1" applyFill="1" applyBorder="1" applyAlignment="1">
      <alignment horizontal="left" vertical="center" wrapText="1"/>
    </xf>
    <xf numFmtId="0" fontId="13" fillId="12" borderId="1" xfId="6" applyFont="1" applyFill="1" applyBorder="1" applyAlignment="1">
      <alignment horizontal="left" vertical="center" wrapText="1"/>
    </xf>
    <xf numFmtId="0" fontId="11" fillId="0" borderId="0" xfId="4" applyFont="1" applyAlignment="1">
      <alignment horizontal="center" vertical="center"/>
    </xf>
    <xf numFmtId="1" fontId="11" fillId="0" borderId="0" xfId="4" applyNumberFormat="1" applyFont="1"/>
    <xf numFmtId="0" fontId="11" fillId="0" borderId="0" xfId="4" applyFont="1" applyAlignment="1">
      <alignment horizontal="center" wrapText="1"/>
    </xf>
    <xf numFmtId="0" fontId="16" fillId="0" borderId="0" xfId="0" applyFont="1" applyAlignment="1">
      <alignment horizontal="center" wrapText="1"/>
    </xf>
    <xf numFmtId="0" fontId="0" fillId="0" borderId="0" xfId="0" applyAlignment="1">
      <alignment wrapText="1"/>
    </xf>
    <xf numFmtId="0" fontId="26" fillId="0" borderId="0" xfId="0" applyFont="1"/>
    <xf numFmtId="0" fontId="26" fillId="0" borderId="0" xfId="0" applyFont="1" applyAlignment="1">
      <alignment vertical="center" wrapText="1"/>
    </xf>
    <xf numFmtId="0" fontId="27" fillId="0" borderId="0" xfId="0" applyFont="1"/>
    <xf numFmtId="0" fontId="28" fillId="0" borderId="0" xfId="0" applyFont="1"/>
    <xf numFmtId="0" fontId="26" fillId="0" borderId="0" xfId="0" applyFont="1" applyAlignment="1">
      <alignment horizontal="center" wrapText="1"/>
    </xf>
    <xf numFmtId="0" fontId="29" fillId="0" borderId="0" xfId="0" applyFont="1"/>
    <xf numFmtId="0" fontId="29" fillId="0" borderId="0" xfId="0" applyFont="1" applyAlignment="1">
      <alignment wrapText="1"/>
    </xf>
    <xf numFmtId="0" fontId="29" fillId="0" borderId="0" xfId="0" applyFont="1" applyAlignment="1">
      <alignment vertical="center" wrapText="1"/>
    </xf>
    <xf numFmtId="0" fontId="30" fillId="3" borderId="0" xfId="0" applyFont="1" applyFill="1"/>
    <xf numFmtId="0" fontId="30" fillId="0" borderId="0" xfId="0" applyFont="1"/>
    <xf numFmtId="0" fontId="30" fillId="0" borderId="0" xfId="0" applyFont="1" applyAlignment="1">
      <alignment wrapText="1"/>
    </xf>
    <xf numFmtId="0" fontId="29" fillId="3" borderId="0" xfId="0" applyFont="1" applyFill="1"/>
    <xf numFmtId="0" fontId="29" fillId="3" borderId="0" xfId="0" applyFont="1" applyFill="1" applyAlignment="1">
      <alignment vertical="center" wrapText="1"/>
    </xf>
    <xf numFmtId="0" fontId="31" fillId="3" borderId="0" xfId="0" applyFont="1" applyFill="1"/>
    <xf numFmtId="0" fontId="31" fillId="3" borderId="1" xfId="0" applyFont="1" applyFill="1" applyBorder="1"/>
    <xf numFmtId="0" fontId="29" fillId="3" borderId="0" xfId="0" applyFont="1" applyFill="1" applyAlignment="1">
      <alignment wrapText="1"/>
    </xf>
    <xf numFmtId="165" fontId="29" fillId="3" borderId="0" xfId="0" applyNumberFormat="1" applyFont="1" applyFill="1"/>
    <xf numFmtId="0" fontId="32" fillId="6" borderId="12" xfId="0" applyFont="1" applyFill="1" applyBorder="1"/>
    <xf numFmtId="0" fontId="32" fillId="6" borderId="13" xfId="0" applyFont="1" applyFill="1" applyBorder="1"/>
    <xf numFmtId="0" fontId="32" fillId="7" borderId="14" xfId="0" applyFont="1" applyFill="1" applyBorder="1" applyAlignment="1">
      <alignment horizontal="center" vertical="center" wrapText="1"/>
    </xf>
    <xf numFmtId="0" fontId="32" fillId="7" borderId="12" xfId="0" applyFont="1" applyFill="1" applyBorder="1" applyAlignment="1">
      <alignment horizontal="center" vertical="center" wrapText="1"/>
    </xf>
    <xf numFmtId="0" fontId="15" fillId="0" borderId="0" xfId="0" applyFont="1" applyAlignment="1">
      <alignment vertical="center" wrapText="1"/>
    </xf>
    <xf numFmtId="0" fontId="7" fillId="0" borderId="2" xfId="0" applyFont="1" applyBorder="1"/>
    <xf numFmtId="0" fontId="7" fillId="0" borderId="3" xfId="0" applyFont="1" applyBorder="1"/>
    <xf numFmtId="0" fontId="7" fillId="0" borderId="3" xfId="0" applyFont="1" applyBorder="1" applyAlignment="1">
      <alignment horizontal="center" vertical="center"/>
    </xf>
    <xf numFmtId="0" fontId="7" fillId="0" borderId="3" xfId="0" applyFont="1" applyBorder="1" applyAlignment="1">
      <alignment horizontal="center" wrapText="1"/>
    </xf>
    <xf numFmtId="0" fontId="7" fillId="0" borderId="4" xfId="0" applyFont="1" applyBorder="1" applyAlignment="1">
      <alignment vertical="center" wrapText="1"/>
    </xf>
    <xf numFmtId="0" fontId="33" fillId="0" borderId="0" xfId="0" applyFont="1"/>
    <xf numFmtId="0" fontId="33" fillId="0" borderId="0" xfId="0" applyFont="1" applyAlignment="1">
      <alignment horizontal="center" vertical="center"/>
    </xf>
    <xf numFmtId="0" fontId="33" fillId="0" borderId="0" xfId="0" applyFont="1" applyAlignment="1">
      <alignment horizontal="center" wrapText="1"/>
    </xf>
    <xf numFmtId="0" fontId="33" fillId="0" borderId="0" xfId="0" applyFont="1" applyAlignment="1">
      <alignment vertical="center" wrapText="1"/>
    </xf>
    <xf numFmtId="0" fontId="15" fillId="0" borderId="0" xfId="0" applyFont="1" applyAlignment="1">
      <alignment vertical="center"/>
    </xf>
    <xf numFmtId="0" fontId="0" fillId="0" borderId="1" xfId="0" applyBorder="1"/>
    <xf numFmtId="0" fontId="0" fillId="0" borderId="0" xfId="0" applyAlignment="1">
      <alignment horizontal="center" vertical="center"/>
    </xf>
    <xf numFmtId="0" fontId="16" fillId="0" borderId="0" xfId="0" applyFont="1" applyAlignment="1">
      <alignment horizontal="center" vertical="center"/>
    </xf>
    <xf numFmtId="0" fontId="0" fillId="3" borderId="0" xfId="0" applyFill="1"/>
    <xf numFmtId="0" fontId="18" fillId="3" borderId="0" xfId="0" applyFont="1" applyFill="1"/>
    <xf numFmtId="0" fontId="25" fillId="0" borderId="0" xfId="0" applyFont="1" applyAlignment="1">
      <alignment horizontal="center"/>
    </xf>
    <xf numFmtId="0" fontId="23" fillId="0" borderId="0" xfId="4" applyFont="1" applyAlignment="1">
      <alignment horizontal="center"/>
    </xf>
    <xf numFmtId="0" fontId="4" fillId="0" borderId="0" xfId="0" applyFont="1" applyAlignment="1">
      <alignment horizontal="left"/>
    </xf>
    <xf numFmtId="0" fontId="8" fillId="12" borderId="1" xfId="4" applyFont="1" applyFill="1" applyBorder="1" applyAlignment="1">
      <alignment horizontal="center" vertical="center" wrapText="1"/>
    </xf>
    <xf numFmtId="0" fontId="8" fillId="13" borderId="1" xfId="4" applyFont="1" applyFill="1" applyBorder="1" applyAlignment="1">
      <alignment horizontal="center" vertical="center"/>
    </xf>
    <xf numFmtId="1" fontId="8" fillId="13" borderId="1" xfId="4" applyNumberFormat="1" applyFont="1" applyFill="1" applyBorder="1" applyAlignment="1">
      <alignment horizontal="center" vertical="center"/>
    </xf>
    <xf numFmtId="0" fontId="5" fillId="20" borderId="1" xfId="0" applyFont="1" applyFill="1" applyBorder="1" applyAlignment="1">
      <alignment horizontal="center" vertical="center" wrapText="1"/>
    </xf>
    <xf numFmtId="0" fontId="5" fillId="19" borderId="1" xfId="0" applyFont="1" applyFill="1" applyBorder="1" applyAlignment="1">
      <alignment horizontal="center" vertical="center"/>
    </xf>
    <xf numFmtId="0" fontId="5" fillId="20" borderId="6" xfId="0" applyFont="1" applyFill="1" applyBorder="1" applyAlignment="1">
      <alignment horizontal="center" vertical="center" wrapText="1"/>
    </xf>
    <xf numFmtId="0" fontId="37" fillId="0" borderId="0" xfId="0" applyFont="1" applyAlignment="1">
      <alignment horizontal="center"/>
    </xf>
    <xf numFmtId="0" fontId="5" fillId="19" borderId="1" xfId="0" applyFont="1" applyFill="1" applyBorder="1" applyAlignment="1">
      <alignment horizontal="left"/>
    </xf>
    <xf numFmtId="0" fontId="7" fillId="0" borderId="0" xfId="0" applyFont="1"/>
    <xf numFmtId="0" fontId="38" fillId="0" borderId="0" xfId="0" applyFont="1" applyAlignment="1">
      <alignment horizontal="center" vertical="center"/>
    </xf>
    <xf numFmtId="0" fontId="7" fillId="0" borderId="0" xfId="0" applyFont="1" applyAlignment="1">
      <alignment horizontal="center"/>
    </xf>
    <xf numFmtId="0" fontId="8" fillId="2" borderId="1" xfId="0" applyFont="1" applyFill="1" applyBorder="1" applyAlignment="1">
      <alignment vertical="center" wrapText="1"/>
    </xf>
    <xf numFmtId="0" fontId="7" fillId="2" borderId="1" xfId="0" applyFont="1" applyFill="1" applyBorder="1" applyAlignment="1">
      <alignment horizontal="justify" vertical="center" wrapText="1"/>
    </xf>
    <xf numFmtId="165" fontId="8" fillId="2" borderId="1" xfId="0" applyNumberFormat="1" applyFont="1" applyFill="1" applyBorder="1" applyAlignment="1">
      <alignment vertical="center" wrapText="1"/>
    </xf>
    <xf numFmtId="0" fontId="8" fillId="2" borderId="1" xfId="0" applyFont="1" applyFill="1" applyBorder="1" applyAlignment="1">
      <alignment horizontal="center" vertical="center" wrapText="1"/>
    </xf>
    <xf numFmtId="43" fontId="8" fillId="2" borderId="1" xfId="1" applyFont="1" applyFill="1" applyBorder="1" applyAlignment="1">
      <alignment horizontal="center" vertical="center" wrapText="1"/>
    </xf>
    <xf numFmtId="1" fontId="8" fillId="2" borderId="1" xfId="1" applyNumberFormat="1" applyFont="1" applyFill="1" applyBorder="1" applyAlignment="1">
      <alignment horizontal="center" vertical="center" wrapText="1"/>
    </xf>
    <xf numFmtId="165" fontId="8" fillId="2" borderId="1" xfId="1"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3" borderId="1" xfId="0" applyFont="1" applyFill="1" applyBorder="1" applyAlignment="1">
      <alignment vertical="center" wrapText="1"/>
    </xf>
    <xf numFmtId="0" fontId="7" fillId="3" borderId="5" xfId="0" applyFont="1" applyFill="1" applyBorder="1" applyAlignment="1">
      <alignment horizontal="left" vertical="center" wrapText="1"/>
    </xf>
    <xf numFmtId="0" fontId="8" fillId="3" borderId="5" xfId="0" applyFont="1" applyFill="1" applyBorder="1" applyAlignment="1">
      <alignment vertical="center" wrapText="1"/>
    </xf>
    <xf numFmtId="0" fontId="8" fillId="3" borderId="1" xfId="0" applyFont="1" applyFill="1" applyBorder="1" applyAlignment="1">
      <alignment horizontal="center" vertical="center" wrapText="1"/>
    </xf>
    <xf numFmtId="1" fontId="8" fillId="3" borderId="1" xfId="1" applyNumberFormat="1" applyFont="1" applyFill="1" applyBorder="1" applyAlignment="1">
      <alignment horizontal="center" vertical="center" wrapText="1"/>
    </xf>
    <xf numFmtId="165" fontId="8" fillId="3" borderId="1" xfId="1" applyNumberFormat="1" applyFont="1" applyFill="1" applyBorder="1" applyAlignment="1">
      <alignment horizontal="center" vertical="center" wrapText="1"/>
    </xf>
    <xf numFmtId="43" fontId="8" fillId="3" borderId="1" xfId="1" applyFont="1" applyFill="1" applyBorder="1" applyAlignment="1">
      <alignment horizontal="center" vertical="center" wrapText="1"/>
    </xf>
    <xf numFmtId="43" fontId="8" fillId="3" borderId="5" xfId="1" applyFont="1" applyFill="1" applyBorder="1" applyAlignment="1">
      <alignment horizontal="center" vertical="center" wrapText="1"/>
    </xf>
    <xf numFmtId="0" fontId="7" fillId="3" borderId="1" xfId="0" applyFont="1" applyFill="1" applyBorder="1" applyAlignment="1">
      <alignment horizontal="justify" vertical="center" wrapText="1"/>
    </xf>
    <xf numFmtId="0" fontId="8" fillId="3" borderId="1" xfId="0" applyFont="1" applyFill="1" applyBorder="1" applyAlignment="1">
      <alignment horizontal="left" vertical="center" wrapText="1"/>
    </xf>
    <xf numFmtId="0" fontId="8" fillId="3" borderId="5" xfId="0" applyFont="1" applyFill="1" applyBorder="1" applyAlignment="1">
      <alignment horizontal="center" vertical="center" wrapText="1"/>
    </xf>
    <xf numFmtId="165" fontId="5" fillId="19" borderId="1" xfId="0" applyNumberFormat="1" applyFont="1" applyFill="1" applyBorder="1" applyAlignment="1">
      <alignment horizontal="center" vertical="center"/>
    </xf>
    <xf numFmtId="0" fontId="5" fillId="19" borderId="1" xfId="0" applyFont="1" applyFill="1" applyBorder="1"/>
    <xf numFmtId="43" fontId="7" fillId="0" borderId="0" xfId="0" applyNumberFormat="1" applyFont="1"/>
    <xf numFmtId="0" fontId="7" fillId="0" borderId="0" xfId="0" applyFont="1" applyAlignment="1">
      <alignment wrapText="1"/>
    </xf>
    <xf numFmtId="0" fontId="7" fillId="0" borderId="0" xfId="0" applyFont="1" applyAlignment="1">
      <alignment horizontal="center" vertical="center"/>
    </xf>
    <xf numFmtId="0" fontId="7" fillId="0" borderId="0" xfId="0" applyFont="1" applyAlignment="1">
      <alignment horizontal="center" wrapText="1"/>
    </xf>
    <xf numFmtId="165" fontId="8" fillId="2" borderId="1" xfId="0" applyNumberFormat="1" applyFont="1" applyFill="1" applyBorder="1" applyAlignment="1">
      <alignment horizontal="center" vertical="center"/>
    </xf>
    <xf numFmtId="165" fontId="8" fillId="3" borderId="1" xfId="0" applyNumberFormat="1"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xf>
    <xf numFmtId="170" fontId="8" fillId="2" borderId="1" xfId="1"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170" fontId="8" fillId="3" borderId="1" xfId="1" applyNumberFormat="1" applyFont="1" applyFill="1" applyBorder="1" applyAlignment="1">
      <alignment horizontal="center" vertical="center" wrapText="1"/>
    </xf>
    <xf numFmtId="0" fontId="7" fillId="2" borderId="5" xfId="0" applyFont="1" applyFill="1" applyBorder="1" applyAlignment="1">
      <alignment horizontal="left" vertical="center" wrapText="1"/>
    </xf>
    <xf numFmtId="0" fontId="7" fillId="2" borderId="1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40" fillId="3" borderId="1" xfId="0" applyFont="1" applyFill="1" applyBorder="1" applyAlignment="1">
      <alignment horizontal="center" vertical="center"/>
    </xf>
    <xf numFmtId="0" fontId="8" fillId="3" borderId="1" xfId="0" applyFont="1" applyFill="1" applyBorder="1" applyAlignment="1">
      <alignment horizontal="center" vertical="center"/>
    </xf>
    <xf numFmtId="0" fontId="7" fillId="3" borderId="1" xfId="0" applyFont="1" applyFill="1" applyBorder="1" applyAlignment="1">
      <alignment vertical="center" wrapText="1"/>
    </xf>
    <xf numFmtId="0" fontId="40"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7" fillId="2" borderId="1" xfId="0" applyFont="1" applyFill="1" applyBorder="1" applyAlignment="1">
      <alignment vertical="center" wrapText="1"/>
    </xf>
    <xf numFmtId="0" fontId="41" fillId="3" borderId="1" xfId="0" applyFont="1" applyFill="1" applyBorder="1" applyAlignment="1">
      <alignment vertical="center" wrapText="1"/>
    </xf>
    <xf numFmtId="0" fontId="7" fillId="2" borderId="1" xfId="0" applyFont="1" applyFill="1" applyBorder="1" applyAlignment="1">
      <alignment horizontal="justify" vertical="center"/>
    </xf>
    <xf numFmtId="0" fontId="7" fillId="3" borderId="1" xfId="0" applyFont="1" applyFill="1" applyBorder="1" applyAlignment="1">
      <alignment horizontal="left" vertical="center" wrapText="1"/>
    </xf>
    <xf numFmtId="0" fontId="41" fillId="3" borderId="1" xfId="0" applyFont="1" applyFill="1" applyBorder="1" applyAlignment="1">
      <alignment horizontal="center" vertical="center" wrapText="1"/>
    </xf>
    <xf numFmtId="0" fontId="38" fillId="0" borderId="0" xfId="0" applyFont="1"/>
    <xf numFmtId="0" fontId="8" fillId="2" borderId="1" xfId="0" applyFont="1" applyFill="1" applyBorder="1" applyAlignment="1">
      <alignment horizontal="left" vertical="center" wrapText="1"/>
    </xf>
    <xf numFmtId="165" fontId="8" fillId="2" borderId="1" xfId="1" applyNumberFormat="1" applyFont="1" applyFill="1" applyBorder="1" applyAlignment="1">
      <alignment horizontal="center" vertical="center"/>
    </xf>
    <xf numFmtId="43" fontId="8" fillId="2" borderId="1" xfId="1" applyFont="1" applyFill="1" applyBorder="1" applyAlignment="1">
      <alignment horizontal="center" vertical="center"/>
    </xf>
    <xf numFmtId="0" fontId="5" fillId="19" borderId="1" xfId="0" applyFont="1" applyFill="1" applyBorder="1" applyAlignment="1">
      <alignment horizontal="left" wrapText="1"/>
    </xf>
    <xf numFmtId="0" fontId="7" fillId="0" borderId="0" xfId="0" applyFont="1" applyAlignment="1">
      <alignment vertical="center" wrapText="1"/>
    </xf>
    <xf numFmtId="9" fontId="7" fillId="2" borderId="1" xfId="0" applyNumberFormat="1" applyFont="1" applyFill="1" applyBorder="1" applyAlignment="1">
      <alignment horizontal="center" vertical="center"/>
    </xf>
    <xf numFmtId="165" fontId="7" fillId="2"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3" fontId="7" fillId="0" borderId="1" xfId="1" applyNumberFormat="1" applyFont="1" applyFill="1" applyBorder="1" applyAlignment="1">
      <alignment horizontal="center" vertical="center" wrapText="1"/>
    </xf>
    <xf numFmtId="165" fontId="7" fillId="0" borderId="1" xfId="0" applyNumberFormat="1" applyFont="1" applyBorder="1" applyAlignment="1">
      <alignment horizontal="center" vertical="center"/>
    </xf>
    <xf numFmtId="0" fontId="7" fillId="0" borderId="5" xfId="0" applyFont="1" applyBorder="1" applyAlignment="1">
      <alignment horizontal="center" vertical="center" wrapText="1"/>
    </xf>
    <xf numFmtId="0" fontId="7" fillId="3" borderId="5" xfId="0" applyFont="1" applyFill="1" applyBorder="1" applyAlignment="1">
      <alignment horizontal="center" vertical="center" wrapText="1"/>
    </xf>
    <xf numFmtId="9" fontId="7" fillId="3" borderId="5" xfId="0"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0" fontId="7" fillId="19" borderId="1" xfId="0" applyFont="1" applyFill="1" applyBorder="1" applyAlignment="1">
      <alignment horizontal="left" vertical="center" wrapText="1"/>
    </xf>
    <xf numFmtId="0" fontId="7" fillId="19" borderId="1" xfId="0" applyFont="1" applyFill="1" applyBorder="1" applyAlignment="1">
      <alignment horizontal="center" vertical="center" wrapText="1"/>
    </xf>
    <xf numFmtId="9" fontId="7" fillId="19" borderId="1" xfId="0" applyNumberFormat="1" applyFont="1" applyFill="1" applyBorder="1" applyAlignment="1">
      <alignment horizontal="center" vertical="center" wrapText="1"/>
    </xf>
    <xf numFmtId="4" fontId="7" fillId="0" borderId="0" xfId="0" applyNumberFormat="1" applyFont="1"/>
    <xf numFmtId="164" fontId="8" fillId="2" borderId="1" xfId="2" applyFont="1" applyFill="1" applyBorder="1" applyAlignment="1">
      <alignment horizontal="center" vertical="center" wrapText="1"/>
    </xf>
    <xf numFmtId="166" fontId="8" fillId="2" borderId="1" xfId="1" applyNumberFormat="1" applyFont="1" applyFill="1" applyBorder="1" applyAlignment="1">
      <alignment horizontal="center" vertical="center" wrapText="1"/>
    </xf>
    <xf numFmtId="165" fontId="8" fillId="2" borderId="1" xfId="0" applyNumberFormat="1" applyFont="1" applyFill="1" applyBorder="1" applyAlignment="1">
      <alignment horizontal="center" vertical="center" wrapText="1"/>
    </xf>
    <xf numFmtId="0" fontId="8" fillId="2" borderId="1" xfId="0" applyFont="1" applyFill="1" applyBorder="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164" fontId="8" fillId="0" borderId="1" xfId="2" applyFont="1" applyFill="1" applyBorder="1" applyAlignment="1">
      <alignment horizontal="center" vertical="center" wrapText="1"/>
    </xf>
    <xf numFmtId="43" fontId="8" fillId="0" borderId="1" xfId="1" applyFont="1" applyFill="1" applyBorder="1" applyAlignment="1">
      <alignment horizontal="center" vertical="center" wrapText="1"/>
    </xf>
    <xf numFmtId="166" fontId="8" fillId="0" borderId="1" xfId="0" applyNumberFormat="1" applyFont="1" applyBorder="1" applyAlignment="1">
      <alignment horizontal="center" vertical="center" wrapText="1"/>
    </xf>
    <xf numFmtId="165" fontId="8" fillId="0" borderId="1" xfId="0" applyNumberFormat="1" applyFont="1" applyBorder="1" applyAlignment="1">
      <alignment horizontal="center" vertical="center" wrapText="1"/>
    </xf>
    <xf numFmtId="0" fontId="8" fillId="0" borderId="1" xfId="0" applyFont="1" applyBorder="1" applyAlignment="1">
      <alignment wrapText="1"/>
    </xf>
    <xf numFmtId="0" fontId="10" fillId="19" borderId="1" xfId="0" applyFont="1" applyFill="1" applyBorder="1"/>
    <xf numFmtId="0" fontId="10" fillId="19" borderId="1" xfId="0" applyFont="1" applyFill="1" applyBorder="1" applyAlignment="1">
      <alignment horizontal="center" vertical="center"/>
    </xf>
    <xf numFmtId="43" fontId="5" fillId="19" borderId="1" xfId="1" applyFont="1" applyFill="1" applyBorder="1" applyAlignment="1">
      <alignment horizontal="center"/>
    </xf>
    <xf numFmtId="165" fontId="5" fillId="19" borderId="1" xfId="0" applyNumberFormat="1" applyFont="1" applyFill="1" applyBorder="1" applyAlignment="1">
      <alignment horizontal="center"/>
    </xf>
    <xf numFmtId="0" fontId="13" fillId="4" borderId="1" xfId="0" applyFont="1" applyFill="1" applyBorder="1" applyAlignment="1">
      <alignment vertical="center" wrapText="1"/>
    </xf>
    <xf numFmtId="0" fontId="13" fillId="4" borderId="1" xfId="0" applyFont="1" applyFill="1" applyBorder="1" applyAlignment="1">
      <alignment horizontal="center" vertical="center" wrapText="1"/>
    </xf>
    <xf numFmtId="9" fontId="13" fillId="4" borderId="1" xfId="0" applyNumberFormat="1" applyFont="1" applyFill="1" applyBorder="1" applyAlignment="1">
      <alignment horizontal="center" vertical="center" wrapText="1"/>
    </xf>
    <xf numFmtId="0" fontId="13" fillId="4" borderId="1" xfId="0" applyFont="1" applyFill="1" applyBorder="1" applyAlignment="1">
      <alignment horizontal="left" vertical="center" wrapText="1"/>
    </xf>
    <xf numFmtId="9" fontId="7" fillId="2" borderId="1" xfId="3" applyFont="1" applyFill="1" applyBorder="1" applyAlignment="1">
      <alignment horizontal="center" vertical="center" wrapText="1"/>
    </xf>
    <xf numFmtId="0" fontId="13" fillId="5" borderId="1" xfId="0" applyFont="1" applyFill="1" applyBorder="1" applyAlignment="1">
      <alignment vertical="center" wrapText="1"/>
    </xf>
    <xf numFmtId="0" fontId="13" fillId="5" borderId="1" xfId="0" applyFont="1" applyFill="1" applyBorder="1" applyAlignment="1">
      <alignment horizontal="center" vertical="center" wrapText="1"/>
    </xf>
    <xf numFmtId="9" fontId="13" fillId="5" borderId="1" xfId="0" applyNumberFormat="1" applyFont="1" applyFill="1" applyBorder="1" applyAlignment="1">
      <alignment horizontal="center" vertical="center" wrapText="1"/>
    </xf>
    <xf numFmtId="0" fontId="13" fillId="5" borderId="1" xfId="0" applyFont="1" applyFill="1" applyBorder="1" applyAlignment="1">
      <alignment horizontal="left" vertical="center" wrapText="1"/>
    </xf>
    <xf numFmtId="9" fontId="7" fillId="3" borderId="1" xfId="3" applyFont="1" applyFill="1" applyBorder="1" applyAlignment="1">
      <alignment horizontal="center" vertical="center" wrapText="1"/>
    </xf>
    <xf numFmtId="0" fontId="5" fillId="20" borderId="7" xfId="0" applyFont="1" applyFill="1" applyBorder="1" applyAlignment="1">
      <alignment horizontal="center" vertical="center" wrapText="1"/>
    </xf>
    <xf numFmtId="0" fontId="7" fillId="2" borderId="1" xfId="0" applyFont="1" applyFill="1" applyBorder="1" applyAlignment="1">
      <alignment vertical="center"/>
    </xf>
    <xf numFmtId="165" fontId="7" fillId="2" borderId="1" xfId="0" applyNumberFormat="1" applyFont="1" applyFill="1" applyBorder="1" applyAlignment="1">
      <alignment horizontal="center" vertical="center" wrapText="1"/>
    </xf>
    <xf numFmtId="43" fontId="7" fillId="2" borderId="1" xfId="1" applyFont="1" applyFill="1" applyBorder="1" applyAlignment="1">
      <alignment vertical="center"/>
    </xf>
    <xf numFmtId="165" fontId="7" fillId="2" borderId="1" xfId="0" applyNumberFormat="1" applyFont="1" applyFill="1" applyBorder="1" applyAlignment="1">
      <alignment vertical="center"/>
    </xf>
    <xf numFmtId="0" fontId="10" fillId="19" borderId="2" xfId="0" applyFont="1" applyFill="1" applyBorder="1" applyAlignment="1">
      <alignment horizontal="center" vertical="center"/>
    </xf>
    <xf numFmtId="0" fontId="8" fillId="3" borderId="5" xfId="0" applyFont="1" applyFill="1" applyBorder="1" applyAlignment="1">
      <alignment horizontal="left" vertical="center" wrapText="1"/>
    </xf>
    <xf numFmtId="0" fontId="7" fillId="0" borderId="1" xfId="0" applyFont="1" applyBorder="1" applyAlignment="1">
      <alignment horizontal="center" vertical="center"/>
    </xf>
    <xf numFmtId="0" fontId="7" fillId="2" borderId="1" xfId="0" applyFont="1" applyFill="1" applyBorder="1"/>
    <xf numFmtId="165" fontId="8" fillId="3" borderId="1" xfId="0" applyNumberFormat="1" applyFont="1" applyFill="1" applyBorder="1" applyAlignment="1">
      <alignment horizontal="center" vertical="center" wrapText="1"/>
    </xf>
    <xf numFmtId="0" fontId="8" fillId="3" borderId="6" xfId="0" applyFont="1" applyFill="1" applyBorder="1" applyAlignment="1">
      <alignment horizontal="left" vertical="center" wrapText="1"/>
    </xf>
    <xf numFmtId="0" fontId="13" fillId="0" borderId="0" xfId="0" applyFont="1"/>
    <xf numFmtId="0" fontId="22" fillId="21" borderId="6" xfId="0" applyFont="1" applyFill="1" applyBorder="1" applyAlignment="1">
      <alignment horizontal="center" vertical="center"/>
    </xf>
    <xf numFmtId="0" fontId="22" fillId="21" borderId="1" xfId="0" applyFont="1" applyFill="1" applyBorder="1" applyAlignment="1">
      <alignment horizontal="center" vertical="center" wrapText="1"/>
    </xf>
    <xf numFmtId="0" fontId="22" fillId="21" borderId="1" xfId="0" applyFont="1" applyFill="1" applyBorder="1" applyAlignment="1">
      <alignment horizontal="center" vertical="center"/>
    </xf>
    <xf numFmtId="9" fontId="13" fillId="4" borderId="1" xfId="0" applyNumberFormat="1" applyFont="1" applyFill="1" applyBorder="1" applyAlignment="1">
      <alignment horizontal="center" vertical="center"/>
    </xf>
    <xf numFmtId="0" fontId="13" fillId="4" borderId="1" xfId="0" applyFont="1" applyFill="1" applyBorder="1" applyAlignment="1">
      <alignment horizontal="center" vertical="center"/>
    </xf>
    <xf numFmtId="0" fontId="13" fillId="0" borderId="1" xfId="0" applyFont="1" applyBorder="1" applyAlignment="1">
      <alignment horizontal="left" vertical="center"/>
    </xf>
    <xf numFmtId="0" fontId="13" fillId="0" borderId="1" xfId="0" applyFont="1" applyBorder="1" applyAlignment="1">
      <alignment horizontal="left" vertical="center" wrapText="1"/>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9" fontId="13"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8" fontId="13" fillId="0" borderId="1" xfId="0" applyNumberFormat="1" applyFont="1" applyBorder="1" applyAlignment="1">
      <alignment horizontal="right" vertical="center"/>
    </xf>
    <xf numFmtId="43" fontId="7" fillId="2" borderId="1" xfId="1" applyFont="1" applyFill="1" applyBorder="1" applyAlignment="1">
      <alignment horizontal="right" vertical="center" wrapText="1"/>
    </xf>
    <xf numFmtId="165" fontId="7" fillId="3" borderId="1" xfId="0" applyNumberFormat="1" applyFont="1" applyFill="1" applyBorder="1" applyAlignment="1">
      <alignment horizontal="right" vertical="center" wrapText="1"/>
    </xf>
    <xf numFmtId="9" fontId="7" fillId="2" borderId="1" xfId="0" applyNumberFormat="1" applyFont="1" applyFill="1" applyBorder="1" applyAlignment="1">
      <alignment horizontal="center" vertical="center" wrapText="1"/>
    </xf>
    <xf numFmtId="0" fontId="7" fillId="0" borderId="1" xfId="0" applyFont="1" applyBorder="1" applyAlignment="1">
      <alignment vertical="center" wrapText="1"/>
    </xf>
    <xf numFmtId="1" fontId="7" fillId="0" borderId="1" xfId="0" applyNumberFormat="1" applyFont="1" applyBorder="1" applyAlignment="1">
      <alignment horizontal="center" vertical="center" wrapText="1"/>
    </xf>
    <xf numFmtId="0" fontId="7" fillId="2" borderId="1" xfId="0" applyFont="1" applyFill="1" applyBorder="1" applyAlignment="1">
      <alignment horizontal="left" vertical="center"/>
    </xf>
    <xf numFmtId="4" fontId="7" fillId="2" borderId="1" xfId="0" applyNumberFormat="1" applyFont="1" applyFill="1" applyBorder="1" applyAlignment="1">
      <alignment horizontal="center" vertical="center"/>
    </xf>
    <xf numFmtId="4" fontId="7" fillId="2" borderId="1" xfId="1" applyNumberFormat="1" applyFont="1" applyFill="1" applyBorder="1" applyAlignment="1">
      <alignment horizontal="center" vertical="center"/>
    </xf>
    <xf numFmtId="0" fontId="7" fillId="3" borderId="1" xfId="0" applyFont="1" applyFill="1" applyBorder="1" applyAlignment="1">
      <alignment horizontal="justify" vertical="center"/>
    </xf>
    <xf numFmtId="0" fontId="7" fillId="3" borderId="1" xfId="0" applyFont="1" applyFill="1" applyBorder="1" applyAlignment="1">
      <alignment horizontal="left" vertical="center"/>
    </xf>
    <xf numFmtId="4" fontId="7" fillId="3" borderId="1" xfId="0" applyNumberFormat="1" applyFont="1" applyFill="1" applyBorder="1" applyAlignment="1">
      <alignment horizontal="center" vertical="center"/>
    </xf>
    <xf numFmtId="4" fontId="7" fillId="3" borderId="1" xfId="1" applyNumberFormat="1" applyFont="1" applyFill="1" applyBorder="1" applyAlignment="1">
      <alignment horizontal="center" vertical="center"/>
    </xf>
    <xf numFmtId="4" fontId="7" fillId="2" borderId="1" xfId="1" applyNumberFormat="1" applyFont="1" applyFill="1" applyBorder="1" applyAlignment="1">
      <alignment horizontal="center" vertical="center" wrapText="1"/>
    </xf>
    <xf numFmtId="4" fontId="7" fillId="3" borderId="1" xfId="1" applyNumberFormat="1" applyFont="1" applyFill="1" applyBorder="1" applyAlignment="1">
      <alignment horizontal="center" vertical="center" wrapText="1"/>
    </xf>
    <xf numFmtId="4" fontId="5" fillId="19" borderId="1" xfId="0" applyNumberFormat="1" applyFont="1" applyFill="1" applyBorder="1" applyAlignment="1">
      <alignment horizontal="center" wrapText="1"/>
    </xf>
    <xf numFmtId="4" fontId="5" fillId="19" borderId="1" xfId="1" applyNumberFormat="1" applyFont="1" applyFill="1" applyBorder="1" applyAlignment="1">
      <alignment horizontal="center"/>
    </xf>
    <xf numFmtId="0" fontId="7" fillId="19" borderId="1" xfId="0" applyFont="1" applyFill="1" applyBorder="1" applyAlignment="1">
      <alignment horizontal="center"/>
    </xf>
    <xf numFmtId="0" fontId="7" fillId="3" borderId="0" xfId="0" applyFont="1" applyFill="1"/>
    <xf numFmtId="0" fontId="41" fillId="2"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43" fontId="7" fillId="3" borderId="1" xfId="1" applyFont="1" applyFill="1" applyBorder="1" applyAlignment="1">
      <alignment vertical="center" wrapText="1"/>
    </xf>
    <xf numFmtId="0" fontId="13" fillId="18"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18" borderId="1" xfId="0" applyFont="1" applyFill="1" applyBorder="1" applyAlignment="1">
      <alignment horizontal="left" vertical="center" wrapText="1"/>
    </xf>
    <xf numFmtId="0" fontId="13" fillId="18" borderId="1" xfId="0" applyFont="1" applyFill="1" applyBorder="1" applyAlignment="1">
      <alignment horizontal="left" vertical="center" wrapText="1"/>
    </xf>
    <xf numFmtId="9" fontId="13" fillId="18" borderId="1" xfId="0" applyNumberFormat="1" applyFont="1" applyFill="1" applyBorder="1" applyAlignment="1">
      <alignment horizontal="center" vertical="center" wrapText="1"/>
    </xf>
    <xf numFmtId="43" fontId="7" fillId="3" borderId="1" xfId="1" applyFont="1" applyFill="1" applyBorder="1" applyAlignment="1">
      <alignment horizontal="right" vertical="center" wrapText="1"/>
    </xf>
    <xf numFmtId="4" fontId="7" fillId="2" borderId="1" xfId="0" applyNumberFormat="1" applyFont="1" applyFill="1" applyBorder="1" applyAlignment="1">
      <alignment horizontal="right" vertical="center" wrapText="1"/>
    </xf>
    <xf numFmtId="4" fontId="7" fillId="2" borderId="1" xfId="1" applyNumberFormat="1" applyFont="1" applyFill="1" applyBorder="1" applyAlignment="1">
      <alignment horizontal="right" vertical="center"/>
    </xf>
    <xf numFmtId="4" fontId="7" fillId="2" borderId="1" xfId="0" applyNumberFormat="1" applyFont="1" applyFill="1" applyBorder="1" applyAlignment="1">
      <alignment horizontal="right" vertical="center"/>
    </xf>
    <xf numFmtId="4" fontId="7" fillId="2" borderId="1" xfId="0" applyNumberFormat="1" applyFont="1" applyFill="1" applyBorder="1" applyAlignment="1">
      <alignment vertical="center" wrapText="1"/>
    </xf>
    <xf numFmtId="0" fontId="46" fillId="19" borderId="1" xfId="0" applyFont="1" applyFill="1" applyBorder="1"/>
    <xf numFmtId="4" fontId="46" fillId="19" borderId="1" xfId="0" applyNumberFormat="1" applyFont="1" applyFill="1" applyBorder="1" applyAlignment="1">
      <alignment horizontal="right" wrapText="1"/>
    </xf>
    <xf numFmtId="4" fontId="5" fillId="19" borderId="1" xfId="0" applyNumberFormat="1" applyFont="1" applyFill="1" applyBorder="1" applyAlignment="1">
      <alignment horizontal="right"/>
    </xf>
    <xf numFmtId="4" fontId="46" fillId="19" borderId="1" xfId="0" applyNumberFormat="1" applyFont="1" applyFill="1" applyBorder="1" applyAlignment="1">
      <alignment vertical="center" wrapText="1"/>
    </xf>
    <xf numFmtId="0" fontId="41" fillId="0" borderId="3" xfId="0" applyFont="1" applyBorder="1"/>
    <xf numFmtId="0" fontId="7" fillId="0" borderId="4" xfId="0" applyFont="1" applyBorder="1"/>
    <xf numFmtId="0" fontId="41" fillId="0" borderId="0" xfId="0" applyFont="1"/>
    <xf numFmtId="0" fontId="7" fillId="17" borderId="1" xfId="0" applyFont="1" applyFill="1" applyBorder="1"/>
    <xf numFmtId="0" fontId="7" fillId="17" borderId="1" xfId="0" applyFont="1" applyFill="1" applyBorder="1" applyAlignment="1">
      <alignment horizontal="center" vertical="center" wrapText="1"/>
    </xf>
    <xf numFmtId="0" fontId="7" fillId="17" borderId="1" xfId="0" applyFont="1" applyFill="1" applyBorder="1" applyAlignment="1">
      <alignment horizontal="center" vertical="center"/>
    </xf>
    <xf numFmtId="165" fontId="7" fillId="0" borderId="1" xfId="7" applyNumberFormat="1" applyFont="1" applyFill="1" applyBorder="1" applyAlignment="1">
      <alignment horizontal="center" vertical="center" wrapText="1"/>
    </xf>
    <xf numFmtId="43" fontId="7" fillId="0" borderId="1" xfId="1" applyFont="1" applyBorder="1" applyAlignment="1">
      <alignment horizontal="center" vertical="center"/>
    </xf>
    <xf numFmtId="0" fontId="7" fillId="0" borderId="1" xfId="0" applyFont="1" applyBorder="1"/>
    <xf numFmtId="0" fontId="7" fillId="0" borderId="5" xfId="0" applyFont="1" applyBorder="1" applyAlignment="1">
      <alignment horizontal="center" vertical="center"/>
    </xf>
    <xf numFmtId="0" fontId="7" fillId="0" borderId="5" xfId="0" applyFont="1" applyBorder="1"/>
    <xf numFmtId="0" fontId="7" fillId="17" borderId="1" xfId="0" applyFont="1" applyFill="1" applyBorder="1" applyAlignment="1">
      <alignment horizontal="left" vertical="center" wrapText="1"/>
    </xf>
    <xf numFmtId="165" fontId="7" fillId="0" borderId="1" xfId="0" applyNumberFormat="1" applyFont="1" applyBorder="1" applyAlignment="1">
      <alignment horizontal="center" vertical="center" wrapText="1"/>
    </xf>
    <xf numFmtId="43" fontId="5" fillId="19" borderId="1" xfId="1" applyFont="1" applyFill="1" applyBorder="1" applyAlignment="1">
      <alignment horizontal="center" vertical="center"/>
    </xf>
    <xf numFmtId="0" fontId="7" fillId="0" borderId="0" xfId="0" applyFont="1" applyAlignment="1">
      <alignment vertical="center"/>
    </xf>
    <xf numFmtId="0" fontId="26" fillId="0" borderId="0" xfId="0" applyFont="1" applyAlignment="1">
      <alignment vertical="center"/>
    </xf>
    <xf numFmtId="0" fontId="8" fillId="0" borderId="1" xfId="0" applyFont="1" applyBorder="1" applyAlignment="1">
      <alignment horizontal="left" vertical="center" wrapText="1"/>
    </xf>
    <xf numFmtId="10" fontId="8"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9" fontId="7" fillId="0" borderId="1" xfId="0" applyNumberFormat="1" applyFont="1" applyBorder="1" applyAlignment="1">
      <alignment horizontal="center" vertical="center" wrapText="1"/>
    </xf>
    <xf numFmtId="167" fontId="8" fillId="0" borderId="1" xfId="1" applyNumberFormat="1" applyFont="1" applyFill="1" applyBorder="1" applyAlignment="1">
      <alignment horizontal="center" vertical="center" wrapText="1"/>
    </xf>
    <xf numFmtId="0" fontId="7" fillId="0" borderId="1" xfId="1" applyNumberFormat="1" applyFont="1" applyFill="1" applyBorder="1" applyAlignment="1">
      <alignment horizontal="center" vertical="center" wrapText="1"/>
    </xf>
    <xf numFmtId="10" fontId="7" fillId="0" borderId="1" xfId="0" applyNumberFormat="1" applyFont="1" applyBorder="1" applyAlignment="1">
      <alignment horizontal="center" vertical="center" wrapText="1"/>
    </xf>
    <xf numFmtId="9" fontId="8" fillId="2" borderId="1" xfId="0" applyNumberFormat="1" applyFont="1" applyFill="1" applyBorder="1" applyAlignment="1">
      <alignment horizontal="center" vertical="center" wrapText="1"/>
    </xf>
    <xf numFmtId="1" fontId="8" fillId="0" borderId="1" xfId="0" applyNumberFormat="1" applyFont="1" applyBorder="1" applyAlignment="1">
      <alignment horizontal="center" vertical="center" wrapText="1"/>
    </xf>
    <xf numFmtId="0" fontId="8" fillId="2" borderId="5" xfId="0" applyFont="1" applyFill="1" applyBorder="1" applyAlignment="1">
      <alignment horizontal="left" vertical="center" wrapText="1"/>
    </xf>
    <xf numFmtId="0" fontId="41" fillId="2" borderId="1" xfId="0" applyFont="1" applyFill="1" applyBorder="1" applyAlignment="1">
      <alignment horizontal="center" vertical="center"/>
    </xf>
    <xf numFmtId="0" fontId="41" fillId="3" borderId="1" xfId="0" applyFont="1" applyFill="1" applyBorder="1" applyAlignment="1">
      <alignment horizontal="center" vertical="center"/>
    </xf>
    <xf numFmtId="0" fontId="7" fillId="0" borderId="0" xfId="0" applyFont="1" applyAlignment="1">
      <alignment horizontal="left"/>
    </xf>
    <xf numFmtId="165" fontId="8" fillId="2" borderId="1" xfId="0" applyNumberFormat="1" applyFont="1" applyFill="1" applyBorder="1" applyAlignment="1">
      <alignment horizontal="left" vertical="center" wrapText="1"/>
    </xf>
    <xf numFmtId="4" fontId="8" fillId="2" borderId="1" xfId="1"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xf>
    <xf numFmtId="0" fontId="8" fillId="3" borderId="1" xfId="1" applyNumberFormat="1" applyFont="1" applyFill="1" applyBorder="1" applyAlignment="1">
      <alignment horizontal="center" vertical="center" wrapText="1"/>
    </xf>
    <xf numFmtId="4" fontId="8" fillId="3" borderId="1" xfId="1" applyNumberFormat="1" applyFont="1" applyFill="1" applyBorder="1" applyAlignment="1">
      <alignment horizontal="center" vertical="center" wrapText="1"/>
    </xf>
    <xf numFmtId="4" fontId="8" fillId="3" borderId="1" xfId="0" applyNumberFormat="1" applyFont="1" applyFill="1" applyBorder="1" applyAlignment="1">
      <alignment horizontal="center" vertical="center"/>
    </xf>
    <xf numFmtId="4" fontId="8" fillId="3" borderId="1" xfId="0" applyNumberFormat="1" applyFont="1" applyFill="1" applyBorder="1" applyAlignment="1">
      <alignment horizontal="center" vertical="center" wrapText="1"/>
    </xf>
    <xf numFmtId="0" fontId="8" fillId="2" borderId="1" xfId="1"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1" xfId="1" applyNumberFormat="1" applyFont="1" applyFill="1" applyBorder="1" applyAlignment="1">
      <alignment horizontal="center" vertical="center"/>
    </xf>
    <xf numFmtId="4" fontId="8" fillId="3" borderId="1" xfId="1" applyNumberFormat="1" applyFont="1" applyFill="1" applyBorder="1" applyAlignment="1">
      <alignment horizontal="center" vertical="center"/>
    </xf>
    <xf numFmtId="4" fontId="5" fillId="19" borderId="1" xfId="0" applyNumberFormat="1" applyFont="1" applyFill="1" applyBorder="1" applyAlignment="1">
      <alignment horizontal="center" vertical="center"/>
    </xf>
    <xf numFmtId="4" fontId="5" fillId="19" borderId="1" xfId="0" applyNumberFormat="1" applyFont="1" applyFill="1" applyBorder="1"/>
    <xf numFmtId="4" fontId="7" fillId="0" borderId="0" xfId="0" applyNumberFormat="1" applyFont="1" applyAlignment="1">
      <alignment horizontal="center"/>
    </xf>
    <xf numFmtId="0" fontId="22" fillId="23" borderId="1" xfId="4" applyFont="1" applyFill="1" applyBorder="1" applyAlignment="1">
      <alignment horizontal="center" vertical="center" wrapText="1"/>
    </xf>
    <xf numFmtId="0" fontId="22" fillId="23" borderId="1" xfId="4" applyFont="1" applyFill="1" applyBorder="1" applyAlignment="1">
      <alignment horizontal="left" wrapText="1"/>
    </xf>
    <xf numFmtId="0" fontId="13" fillId="0" borderId="0" xfId="4" applyFont="1" applyAlignment="1">
      <alignment wrapText="1"/>
    </xf>
    <xf numFmtId="0" fontId="22" fillId="23" borderId="6" xfId="4" applyFont="1" applyFill="1" applyBorder="1" applyAlignment="1">
      <alignment horizontal="center" vertical="center" wrapText="1"/>
    </xf>
    <xf numFmtId="0" fontId="13" fillId="9" borderId="5" xfId="4" applyFont="1" applyFill="1" applyBorder="1" applyAlignment="1">
      <alignment horizontal="left" vertical="center" wrapText="1"/>
    </xf>
    <xf numFmtId="0" fontId="13" fillId="9" borderId="1" xfId="4" applyFont="1" applyFill="1" applyBorder="1" applyAlignment="1">
      <alignment horizontal="left" vertical="center" wrapText="1"/>
    </xf>
    <xf numFmtId="0" fontId="13" fillId="9" borderId="1" xfId="4" applyFont="1" applyFill="1" applyBorder="1" applyAlignment="1">
      <alignment horizontal="center" vertical="center"/>
    </xf>
    <xf numFmtId="9" fontId="13" fillId="9" borderId="1" xfId="4" applyNumberFormat="1" applyFont="1" applyFill="1" applyBorder="1" applyAlignment="1">
      <alignment horizontal="center" vertical="center"/>
    </xf>
    <xf numFmtId="0" fontId="13" fillId="9" borderId="5" xfId="4" applyFont="1" applyFill="1" applyBorder="1" applyAlignment="1">
      <alignment horizontal="center" vertical="center" wrapText="1"/>
    </xf>
    <xf numFmtId="0" fontId="13" fillId="9" borderId="1" xfId="4" applyFont="1" applyFill="1" applyBorder="1" applyAlignment="1">
      <alignment horizontal="center" vertical="center" wrapText="1"/>
    </xf>
    <xf numFmtId="9" fontId="13" fillId="9" borderId="1" xfId="4" applyNumberFormat="1" applyFont="1" applyFill="1" applyBorder="1" applyAlignment="1">
      <alignment horizontal="center" vertical="center" wrapText="1"/>
    </xf>
    <xf numFmtId="0" fontId="13" fillId="10" borderId="5" xfId="4" applyFont="1" applyFill="1" applyBorder="1" applyAlignment="1">
      <alignment horizontal="left" vertical="center" wrapText="1"/>
    </xf>
    <xf numFmtId="0" fontId="13" fillId="10" borderId="1" xfId="4" applyFont="1" applyFill="1" applyBorder="1" applyAlignment="1">
      <alignment horizontal="left" vertical="center" wrapText="1"/>
    </xf>
    <xf numFmtId="0" fontId="13" fillId="10" borderId="1" xfId="4" applyFont="1" applyFill="1" applyBorder="1" applyAlignment="1">
      <alignment horizontal="center" vertical="center" wrapText="1"/>
    </xf>
    <xf numFmtId="9" fontId="13" fillId="10" borderId="1" xfId="4" applyNumberFormat="1" applyFont="1" applyFill="1" applyBorder="1" applyAlignment="1">
      <alignment horizontal="center" vertical="center"/>
    </xf>
    <xf numFmtId="9" fontId="13" fillId="10" borderId="1" xfId="4" applyNumberFormat="1" applyFont="1" applyFill="1" applyBorder="1" applyAlignment="1">
      <alignment horizontal="center" vertical="center" wrapText="1"/>
    </xf>
    <xf numFmtId="9" fontId="13" fillId="9" borderId="11" xfId="4" applyNumberFormat="1" applyFont="1" applyFill="1" applyBorder="1" applyAlignment="1">
      <alignment horizontal="center" vertical="center"/>
    </xf>
    <xf numFmtId="9" fontId="13" fillId="10" borderId="1" xfId="4" applyNumberFormat="1" applyFont="1" applyFill="1" applyBorder="1" applyAlignment="1">
      <alignment horizontal="left" vertical="center"/>
    </xf>
    <xf numFmtId="9" fontId="13" fillId="9" borderId="11" xfId="4" applyNumberFormat="1" applyFont="1" applyFill="1" applyBorder="1" applyAlignment="1">
      <alignment horizontal="center" vertical="center" wrapText="1"/>
    </xf>
    <xf numFmtId="0" fontId="13" fillId="9" borderId="1" xfId="4" applyFont="1" applyFill="1" applyBorder="1" applyAlignment="1">
      <alignment horizontal="left" vertical="center"/>
    </xf>
    <xf numFmtId="9" fontId="7" fillId="2" borderId="1" xfId="4" applyNumberFormat="1" applyFont="1" applyFill="1" applyBorder="1" applyAlignment="1">
      <alignment horizontal="center" vertical="center"/>
    </xf>
    <xf numFmtId="0" fontId="7" fillId="2" borderId="1" xfId="4" applyFont="1" applyFill="1" applyBorder="1" applyAlignment="1">
      <alignment horizontal="center" vertical="center"/>
    </xf>
    <xf numFmtId="0" fontId="13" fillId="11" borderId="1" xfId="4" applyFont="1" applyFill="1" applyBorder="1" applyAlignment="1">
      <alignment horizontal="left" vertical="center" wrapText="1"/>
    </xf>
    <xf numFmtId="0" fontId="13" fillId="11" borderId="1" xfId="4" applyFont="1" applyFill="1" applyBorder="1" applyAlignment="1">
      <alignment horizontal="center" vertical="center" wrapText="1"/>
    </xf>
    <xf numFmtId="0" fontId="7" fillId="3" borderId="1" xfId="4" applyFont="1" applyFill="1" applyBorder="1" applyAlignment="1">
      <alignment horizontal="center" vertical="center"/>
    </xf>
    <xf numFmtId="9" fontId="7" fillId="3" borderId="1" xfId="4" applyNumberFormat="1" applyFont="1" applyFill="1" applyBorder="1" applyAlignment="1">
      <alignment horizontal="center" vertical="center"/>
    </xf>
    <xf numFmtId="0" fontId="13" fillId="11" borderId="1" xfId="4" applyFont="1" applyFill="1" applyBorder="1" applyAlignment="1">
      <alignment vertical="center" wrapText="1"/>
    </xf>
    <xf numFmtId="0" fontId="13" fillId="12" borderId="1" xfId="4" applyFont="1" applyFill="1" applyBorder="1" applyAlignment="1">
      <alignment horizontal="left" vertical="center" wrapText="1"/>
    </xf>
    <xf numFmtId="0" fontId="13" fillId="12" borderId="1" xfId="4" applyFont="1" applyFill="1" applyBorder="1" applyAlignment="1">
      <alignment horizontal="center" vertical="center" wrapText="1"/>
    </xf>
    <xf numFmtId="9" fontId="13" fillId="12" borderId="1" xfId="4" applyNumberFormat="1" applyFont="1" applyFill="1" applyBorder="1" applyAlignment="1">
      <alignment horizontal="center" vertical="center" wrapText="1"/>
    </xf>
    <xf numFmtId="0" fontId="13" fillId="12" borderId="5" xfId="4" applyFont="1" applyFill="1" applyBorder="1" applyAlignment="1">
      <alignment vertical="center" wrapText="1"/>
    </xf>
    <xf numFmtId="0" fontId="13" fillId="13" borderId="1" xfId="4" applyFont="1" applyFill="1" applyBorder="1" applyAlignment="1">
      <alignment horizontal="left" vertical="center" wrapText="1"/>
    </xf>
    <xf numFmtId="0" fontId="13" fillId="13" borderId="1" xfId="4" applyFont="1" applyFill="1" applyBorder="1" applyAlignment="1">
      <alignment horizontal="center" vertical="center" wrapText="1"/>
    </xf>
    <xf numFmtId="9" fontId="13" fillId="13" borderId="1" xfId="4" applyNumberFormat="1" applyFont="1" applyFill="1" applyBorder="1" applyAlignment="1">
      <alignment horizontal="center" vertical="center" wrapText="1"/>
    </xf>
    <xf numFmtId="0" fontId="13" fillId="10" borderId="5" xfId="4" applyFont="1" applyFill="1" applyBorder="1" applyAlignment="1">
      <alignment horizontal="center" vertical="center" wrapText="1"/>
    </xf>
    <xf numFmtId="0" fontId="13" fillId="12" borderId="1" xfId="4" applyFont="1" applyFill="1" applyBorder="1" applyAlignment="1">
      <alignment horizontal="justify" vertical="center" wrapText="1"/>
    </xf>
    <xf numFmtId="0" fontId="13" fillId="12" borderId="1" xfId="4" applyFont="1" applyFill="1" applyBorder="1" applyAlignment="1">
      <alignment vertical="center" wrapText="1"/>
    </xf>
    <xf numFmtId="0" fontId="13" fillId="14" borderId="1" xfId="4" applyFont="1" applyFill="1" applyBorder="1" applyAlignment="1">
      <alignment horizontal="left" vertical="center" wrapText="1"/>
    </xf>
    <xf numFmtId="0" fontId="13" fillId="14" borderId="1" xfId="4" applyFont="1" applyFill="1" applyBorder="1" applyAlignment="1">
      <alignment horizontal="center" vertical="center" wrapText="1"/>
    </xf>
    <xf numFmtId="0" fontId="13" fillId="11" borderId="1" xfId="4" applyFont="1" applyFill="1" applyBorder="1" applyAlignment="1">
      <alignment horizontal="left" vertical="center"/>
    </xf>
    <xf numFmtId="0" fontId="13" fillId="11" borderId="5" xfId="4" applyFont="1" applyFill="1" applyBorder="1" applyAlignment="1">
      <alignment vertical="center" wrapText="1"/>
    </xf>
    <xf numFmtId="9" fontId="13" fillId="13" borderId="1" xfId="4" applyNumberFormat="1" applyFont="1" applyFill="1" applyBorder="1" applyAlignment="1">
      <alignment horizontal="left" vertical="center"/>
    </xf>
    <xf numFmtId="0" fontId="13" fillId="14" borderId="1" xfId="4" applyFont="1" applyFill="1" applyBorder="1" applyAlignment="1">
      <alignment horizontal="left" vertical="center"/>
    </xf>
    <xf numFmtId="9" fontId="13" fillId="14" borderId="1" xfId="4" applyNumberFormat="1" applyFont="1" applyFill="1" applyBorder="1" applyAlignment="1">
      <alignment horizontal="center" vertical="center" wrapText="1"/>
    </xf>
    <xf numFmtId="0" fontId="22" fillId="23" borderId="1" xfId="4" applyFont="1" applyFill="1" applyBorder="1" applyAlignment="1">
      <alignment horizontal="left"/>
    </xf>
    <xf numFmtId="0" fontId="10" fillId="23" borderId="1" xfId="4" applyFont="1" applyFill="1" applyBorder="1"/>
    <xf numFmtId="0" fontId="10" fillId="23" borderId="2" xfId="4" applyFont="1" applyFill="1" applyBorder="1" applyAlignment="1">
      <alignment horizontal="center" vertical="center"/>
    </xf>
    <xf numFmtId="169" fontId="22" fillId="23" borderId="1" xfId="5" applyFont="1" applyFill="1" applyBorder="1" applyAlignment="1" applyProtection="1">
      <alignment horizontal="center"/>
    </xf>
    <xf numFmtId="0" fontId="13" fillId="0" borderId="0" xfId="4" applyFont="1" applyAlignment="1">
      <alignment horizontal="center" vertical="center"/>
    </xf>
    <xf numFmtId="1" fontId="13" fillId="0" borderId="0" xfId="4" applyNumberFormat="1" applyFont="1"/>
    <xf numFmtId="0" fontId="13" fillId="0" borderId="0" xfId="4" applyFont="1" applyAlignment="1">
      <alignment horizontal="center" wrapText="1"/>
    </xf>
    <xf numFmtId="0" fontId="22" fillId="23" borderId="7" xfId="4" applyFont="1" applyFill="1" applyBorder="1" applyAlignment="1">
      <alignment horizontal="center" vertical="center" wrapText="1"/>
    </xf>
    <xf numFmtId="0" fontId="8" fillId="0" borderId="0" xfId="4" applyFont="1" applyAlignment="1">
      <alignment wrapText="1"/>
    </xf>
    <xf numFmtId="165" fontId="7" fillId="3" borderId="1" xfId="0" applyNumberFormat="1" applyFont="1" applyFill="1" applyBorder="1" applyAlignment="1">
      <alignment horizontal="right" vertical="center"/>
    </xf>
    <xf numFmtId="0" fontId="8" fillId="8" borderId="1" xfId="0" applyFont="1" applyFill="1" applyBorder="1" applyAlignment="1">
      <alignment horizontal="left" vertical="center" wrapText="1"/>
    </xf>
    <xf numFmtId="43" fontId="8" fillId="2" borderId="1" xfId="1" applyFont="1" applyFill="1" applyBorder="1" applyAlignment="1">
      <alignment horizontal="right" vertical="center" wrapText="1"/>
    </xf>
    <xf numFmtId="0" fontId="13" fillId="8" borderId="1" xfId="0" applyFont="1" applyFill="1" applyBorder="1" applyAlignment="1">
      <alignment horizontal="left" vertical="center" wrapText="1"/>
    </xf>
    <xf numFmtId="0" fontId="7" fillId="19" borderId="1" xfId="0" applyFont="1" applyFill="1" applyBorder="1"/>
    <xf numFmtId="0" fontId="29" fillId="0" borderId="1" xfId="0" applyFont="1" applyBorder="1"/>
    <xf numFmtId="0" fontId="14" fillId="0" borderId="1" xfId="0" applyFont="1" applyBorder="1"/>
    <xf numFmtId="0" fontId="11" fillId="0" borderId="1" xfId="0" applyFont="1" applyBorder="1" applyAlignment="1">
      <alignment horizontal="justify" vertical="center" wrapText="1"/>
    </xf>
    <xf numFmtId="0" fontId="18" fillId="2" borderId="1" xfId="0" applyFont="1" applyFill="1" applyBorder="1"/>
    <xf numFmtId="0" fontId="0" fillId="2" borderId="1" xfId="0" applyFill="1" applyBorder="1"/>
    <xf numFmtId="0" fontId="0" fillId="19" borderId="1" xfId="0" applyFill="1" applyBorder="1"/>
    <xf numFmtId="0" fontId="11" fillId="3" borderId="0" xfId="4" applyFont="1" applyFill="1" applyAlignment="1">
      <alignment vertical="center" wrapText="1"/>
    </xf>
    <xf numFmtId="9" fontId="0" fillId="0" borderId="0" xfId="3" applyFont="1"/>
    <xf numFmtId="0" fontId="11" fillId="0" borderId="0" xfId="4" applyFont="1" applyAlignment="1">
      <alignment vertical="center"/>
    </xf>
    <xf numFmtId="0" fontId="13" fillId="13" borderId="1" xfId="4" applyFont="1" applyFill="1" applyBorder="1" applyAlignment="1">
      <alignment horizontal="center" vertical="center"/>
    </xf>
    <xf numFmtId="9" fontId="13" fillId="13" borderId="11" xfId="4" applyNumberFormat="1" applyFont="1" applyFill="1" applyBorder="1" applyAlignment="1">
      <alignment horizontal="center" vertical="center"/>
    </xf>
    <xf numFmtId="0" fontId="6" fillId="0" borderId="0" xfId="0" applyFont="1" applyAlignment="1">
      <alignment wrapText="1"/>
    </xf>
    <xf numFmtId="0" fontId="6" fillId="0" borderId="0" xfId="0" applyFont="1"/>
    <xf numFmtId="0" fontId="50" fillId="3" borderId="0" xfId="0" applyFont="1" applyFill="1"/>
    <xf numFmtId="9" fontId="50" fillId="0" borderId="0" xfId="3" applyFont="1"/>
    <xf numFmtId="9" fontId="4" fillId="0" borderId="0" xfId="3" applyFont="1"/>
    <xf numFmtId="9" fontId="50" fillId="3" borderId="0" xfId="0" applyNumberFormat="1" applyFont="1" applyFill="1"/>
    <xf numFmtId="0" fontId="50" fillId="0" borderId="0" xfId="0" applyFont="1"/>
    <xf numFmtId="0" fontId="51" fillId="24" borderId="1" xfId="0" applyFont="1" applyFill="1" applyBorder="1" applyAlignment="1">
      <alignment horizontal="center" vertical="center"/>
    </xf>
    <xf numFmtId="0" fontId="51" fillId="24" borderId="1" xfId="0" applyFont="1" applyFill="1" applyBorder="1" applyAlignment="1">
      <alignment horizontal="center" vertical="center" wrapText="1"/>
    </xf>
    <xf numFmtId="0" fontId="4" fillId="0" borderId="1" xfId="0" applyFont="1" applyBorder="1" applyAlignment="1">
      <alignment vertical="center"/>
    </xf>
    <xf numFmtId="0" fontId="9" fillId="0" borderId="1" xfId="0" applyFont="1" applyBorder="1" applyAlignment="1">
      <alignment vertical="center"/>
    </xf>
    <xf numFmtId="4" fontId="4" fillId="0" borderId="1" xfId="0" applyNumberFormat="1" applyFont="1" applyBorder="1" applyAlignment="1">
      <alignment vertical="center"/>
    </xf>
    <xf numFmtId="0" fontId="9" fillId="0" borderId="1" xfId="0" applyFont="1" applyBorder="1" applyAlignment="1">
      <alignment vertical="center" wrapText="1"/>
    </xf>
    <xf numFmtId="0" fontId="4" fillId="2" borderId="1" xfId="0" applyFont="1" applyFill="1" applyBorder="1" applyAlignment="1">
      <alignment horizontal="left" wrapText="1"/>
    </xf>
    <xf numFmtId="165" fontId="4" fillId="2" borderId="1" xfId="0" applyNumberFormat="1" applyFont="1" applyFill="1" applyBorder="1" applyAlignment="1">
      <alignment horizontal="center" wrapText="1"/>
    </xf>
    <xf numFmtId="43" fontId="4" fillId="2" borderId="1" xfId="1" applyFont="1" applyFill="1" applyBorder="1" applyAlignment="1">
      <alignment horizontal="center" wrapText="1"/>
    </xf>
    <xf numFmtId="0" fontId="4" fillId="0" borderId="1" xfId="0" applyFont="1" applyBorder="1" applyAlignment="1">
      <alignment horizontal="left" wrapText="1"/>
    </xf>
    <xf numFmtId="165" fontId="4" fillId="0" borderId="1" xfId="0" applyNumberFormat="1" applyFont="1" applyBorder="1" applyAlignment="1">
      <alignment horizontal="center" wrapText="1"/>
    </xf>
    <xf numFmtId="43" fontId="4" fillId="0" borderId="1" xfId="1" applyFont="1" applyBorder="1" applyAlignment="1">
      <alignment horizontal="center" wrapText="1"/>
    </xf>
    <xf numFmtId="0" fontId="51" fillId="24" borderId="1" xfId="0" applyFont="1" applyFill="1" applyBorder="1" applyAlignment="1">
      <alignment horizontal="right"/>
    </xf>
    <xf numFmtId="165" fontId="51" fillId="24" borderId="1" xfId="0" applyNumberFormat="1" applyFont="1" applyFill="1" applyBorder="1" applyAlignment="1">
      <alignment horizontal="center"/>
    </xf>
    <xf numFmtId="165" fontId="51" fillId="24" borderId="1" xfId="1" applyNumberFormat="1" applyFont="1" applyFill="1" applyBorder="1" applyAlignment="1">
      <alignment horizontal="center"/>
    </xf>
    <xf numFmtId="165" fontId="50" fillId="0" borderId="0" xfId="0" applyNumberFormat="1" applyFont="1"/>
    <xf numFmtId="0" fontId="52" fillId="25" borderId="35" xfId="0" applyFont="1" applyFill="1" applyBorder="1" applyAlignment="1">
      <alignment wrapText="1"/>
    </xf>
    <xf numFmtId="0" fontId="13" fillId="25" borderId="9" xfId="0" applyFont="1" applyFill="1" applyBorder="1" applyAlignment="1">
      <alignment wrapText="1"/>
    </xf>
    <xf numFmtId="0" fontId="13" fillId="25" borderId="35" xfId="0" applyFont="1" applyFill="1" applyBorder="1" applyAlignment="1">
      <alignment wrapText="1"/>
    </xf>
    <xf numFmtId="4" fontId="13" fillId="25" borderId="9" xfId="0" applyNumberFormat="1" applyFont="1" applyFill="1" applyBorder="1" applyAlignment="1">
      <alignment horizontal="right" wrapText="1"/>
    </xf>
    <xf numFmtId="0" fontId="13" fillId="25" borderId="37" xfId="0" applyFont="1" applyFill="1" applyBorder="1" applyAlignment="1">
      <alignment wrapText="1"/>
    </xf>
    <xf numFmtId="4" fontId="13" fillId="25" borderId="38" xfId="0" applyNumberFormat="1" applyFont="1" applyFill="1" applyBorder="1" applyAlignment="1">
      <alignment horizontal="right" wrapText="1"/>
    </xf>
    <xf numFmtId="4" fontId="13" fillId="25" borderId="4" xfId="0" applyNumberFormat="1" applyFont="1" applyFill="1" applyBorder="1" applyAlignment="1">
      <alignment horizontal="right" wrapText="1"/>
    </xf>
    <xf numFmtId="0" fontId="5" fillId="19" borderId="35" xfId="0" applyFont="1" applyFill="1" applyBorder="1" applyAlignment="1">
      <alignment wrapText="1"/>
    </xf>
    <xf numFmtId="4" fontId="5" fillId="19" borderId="9" xfId="0" applyNumberFormat="1" applyFont="1" applyFill="1" applyBorder="1" applyAlignment="1">
      <alignment horizontal="right" wrapText="1"/>
    </xf>
    <xf numFmtId="0" fontId="5" fillId="19" borderId="39" xfId="0" applyFont="1" applyFill="1" applyBorder="1" applyAlignment="1">
      <alignment wrapText="1"/>
    </xf>
    <xf numFmtId="4" fontId="5" fillId="19" borderId="40" xfId="0" applyNumberFormat="1" applyFont="1" applyFill="1" applyBorder="1" applyAlignment="1">
      <alignment horizontal="right" wrapText="1"/>
    </xf>
    <xf numFmtId="0" fontId="53" fillId="19" borderId="34" xfId="0" applyFont="1" applyFill="1" applyBorder="1" applyAlignment="1">
      <alignment horizontal="center" vertical="center" wrapText="1"/>
    </xf>
    <xf numFmtId="0" fontId="53" fillId="19" borderId="36" xfId="0" applyFont="1" applyFill="1" applyBorder="1" applyAlignment="1">
      <alignment horizontal="center" vertical="center" wrapText="1"/>
    </xf>
    <xf numFmtId="10" fontId="13" fillId="25" borderId="38" xfId="8" applyNumberFormat="1" applyFont="1" applyFill="1" applyBorder="1" applyAlignment="1">
      <alignment horizontal="right" wrapText="1"/>
    </xf>
    <xf numFmtId="10" fontId="13" fillId="25" borderId="4" xfId="8" applyNumberFormat="1" applyFont="1" applyFill="1" applyBorder="1" applyAlignment="1">
      <alignment horizontal="right" wrapText="1"/>
    </xf>
    <xf numFmtId="10" fontId="13" fillId="25" borderId="9" xfId="8" applyNumberFormat="1" applyFont="1" applyFill="1" applyBorder="1" applyAlignment="1">
      <alignment horizontal="right" wrapText="1"/>
    </xf>
    <xf numFmtId="0" fontId="55" fillId="0" borderId="1" xfId="0" applyFont="1" applyBorder="1"/>
    <xf numFmtId="0" fontId="14" fillId="0" borderId="1" xfId="0" applyFont="1" applyBorder="1" applyAlignment="1">
      <alignment wrapText="1"/>
    </xf>
    <xf numFmtId="4" fontId="14" fillId="0" borderId="1" xfId="0" applyNumberFormat="1" applyFont="1" applyBorder="1" applyAlignment="1">
      <alignment horizontal="right" vertical="center"/>
    </xf>
    <xf numFmtId="0" fontId="14" fillId="0" borderId="1" xfId="0" applyFont="1" applyBorder="1" applyAlignment="1">
      <alignment vertical="center"/>
    </xf>
    <xf numFmtId="0" fontId="58" fillId="0" borderId="0" xfId="0" applyFont="1"/>
    <xf numFmtId="0" fontId="56" fillId="19" borderId="1" xfId="0" applyFont="1" applyFill="1" applyBorder="1" applyAlignment="1">
      <alignment horizontal="center"/>
    </xf>
    <xf numFmtId="0" fontId="56" fillId="19" borderId="1" xfId="0" applyFont="1" applyFill="1" applyBorder="1" applyAlignment="1">
      <alignment horizontal="center" wrapText="1"/>
    </xf>
    <xf numFmtId="4" fontId="56" fillId="19" borderId="1" xfId="0" applyNumberFormat="1" applyFont="1" applyFill="1" applyBorder="1" applyAlignment="1">
      <alignment horizontal="right"/>
    </xf>
    <xf numFmtId="0" fontId="4" fillId="0" borderId="0" xfId="0" applyFont="1" applyAlignment="1">
      <alignment vertical="center"/>
    </xf>
    <xf numFmtId="165" fontId="4" fillId="2" borderId="1" xfId="1" applyNumberFormat="1" applyFont="1" applyFill="1" applyBorder="1" applyAlignment="1">
      <alignment horizontal="center" wrapText="1"/>
    </xf>
    <xf numFmtId="165" fontId="4" fillId="3" borderId="1" xfId="1" applyNumberFormat="1" applyFont="1" applyFill="1" applyBorder="1" applyAlignment="1">
      <alignment horizontal="center" wrapText="1"/>
    </xf>
    <xf numFmtId="165" fontId="4" fillId="0" borderId="0" xfId="0" applyNumberFormat="1" applyFont="1"/>
    <xf numFmtId="165" fontId="7" fillId="17" borderId="1" xfId="0" applyNumberFormat="1" applyFont="1" applyFill="1" applyBorder="1" applyAlignment="1">
      <alignment horizontal="center" vertical="center" wrapText="1"/>
    </xf>
    <xf numFmtId="43" fontId="7" fillId="17" borderId="1" xfId="1" applyFont="1" applyFill="1" applyBorder="1" applyAlignment="1">
      <alignment vertical="center"/>
    </xf>
    <xf numFmtId="43" fontId="7" fillId="17" borderId="4" xfId="1" applyFont="1" applyFill="1" applyBorder="1" applyAlignment="1">
      <alignment vertical="center"/>
    </xf>
    <xf numFmtId="43" fontId="7" fillId="0" borderId="1" xfId="1" applyFont="1" applyBorder="1" applyAlignment="1">
      <alignment vertical="center"/>
    </xf>
    <xf numFmtId="43" fontId="7" fillId="3" borderId="1" xfId="1" applyFont="1" applyFill="1" applyBorder="1" applyAlignment="1">
      <alignment vertical="center"/>
    </xf>
    <xf numFmtId="43" fontId="7" fillId="0" borderId="5" xfId="1" applyFont="1" applyBorder="1" applyAlignment="1">
      <alignment vertical="center"/>
    </xf>
    <xf numFmtId="0" fontId="4" fillId="3" borderId="1" xfId="0" applyFont="1" applyFill="1" applyBorder="1" applyAlignment="1">
      <alignment horizontal="left" wrapText="1"/>
    </xf>
    <xf numFmtId="165" fontId="4" fillId="3" borderId="1" xfId="0" applyNumberFormat="1" applyFont="1" applyFill="1" applyBorder="1" applyAlignment="1">
      <alignment horizontal="center" wrapText="1"/>
    </xf>
    <xf numFmtId="43" fontId="4" fillId="3" borderId="1" xfId="1" applyFont="1" applyFill="1" applyBorder="1" applyAlignment="1">
      <alignment horizontal="center" wrapText="1"/>
    </xf>
    <xf numFmtId="165" fontId="4" fillId="2" borderId="1" xfId="0" applyNumberFormat="1" applyFont="1" applyFill="1" applyBorder="1" applyAlignment="1">
      <alignment horizontal="right" wrapText="1"/>
    </xf>
    <xf numFmtId="165" fontId="4" fillId="0" borderId="1" xfId="0" applyNumberFormat="1" applyFont="1" applyBorder="1" applyAlignment="1">
      <alignment horizontal="right" wrapText="1"/>
    </xf>
    <xf numFmtId="165" fontId="4" fillId="3" borderId="1" xfId="0" applyNumberFormat="1" applyFont="1" applyFill="1" applyBorder="1" applyAlignment="1">
      <alignment horizontal="right" wrapText="1"/>
    </xf>
    <xf numFmtId="0" fontId="7" fillId="0" borderId="1" xfId="0" applyFont="1" applyBorder="1" applyAlignment="1">
      <alignment horizontal="justify" vertical="center" wrapText="1"/>
    </xf>
    <xf numFmtId="0" fontId="40" fillId="0" borderId="1" xfId="0" applyFont="1" applyBorder="1" applyAlignment="1">
      <alignment horizontal="center" vertical="center"/>
    </xf>
    <xf numFmtId="170" fontId="8" fillId="0" borderId="1" xfId="1" applyNumberFormat="1" applyFont="1" applyFill="1" applyBorder="1" applyAlignment="1">
      <alignment horizontal="center" vertical="center" wrapText="1"/>
    </xf>
    <xf numFmtId="0" fontId="8" fillId="0" borderId="1" xfId="0" applyFont="1" applyBorder="1" applyAlignment="1">
      <alignment vertical="center" wrapText="1"/>
    </xf>
    <xf numFmtId="0" fontId="42" fillId="0" borderId="0" xfId="0" applyFont="1" applyAlignment="1">
      <alignment vertical="center" wrapText="1"/>
    </xf>
    <xf numFmtId="0" fontId="5" fillId="20" borderId="5" xfId="0" applyFont="1" applyFill="1" applyBorder="1" applyAlignment="1">
      <alignment horizontal="center" vertical="center" wrapText="1"/>
    </xf>
    <xf numFmtId="0" fontId="7" fillId="0" borderId="5" xfId="0" applyFont="1" applyBorder="1" applyAlignment="1">
      <alignment horizontal="left" vertical="center" wrapText="1"/>
    </xf>
    <xf numFmtId="0" fontId="22" fillId="21" borderId="5" xfId="0" applyFont="1" applyFill="1" applyBorder="1" applyAlignment="1">
      <alignment horizontal="center" vertical="center"/>
    </xf>
    <xf numFmtId="4" fontId="13" fillId="0" borderId="0" xfId="4" applyNumberFormat="1" applyFont="1" applyAlignment="1">
      <alignment horizontal="center" wrapText="1"/>
    </xf>
    <xf numFmtId="4" fontId="11" fillId="0" borderId="0" xfId="4" applyNumberFormat="1" applyFont="1"/>
    <xf numFmtId="4" fontId="11" fillId="0" borderId="0" xfId="4" applyNumberFormat="1" applyFont="1" applyAlignment="1">
      <alignment horizontal="center" wrapText="1"/>
    </xf>
    <xf numFmtId="0" fontId="4" fillId="2" borderId="1" xfId="0" applyFont="1" applyFill="1" applyBorder="1" applyAlignment="1">
      <alignment horizontal="left" vertical="center" wrapText="1"/>
    </xf>
    <xf numFmtId="165" fontId="4" fillId="2" borderId="1" xfId="0" applyNumberFormat="1" applyFont="1" applyFill="1" applyBorder="1" applyAlignment="1">
      <alignment horizontal="center" vertical="center" wrapText="1"/>
    </xf>
    <xf numFmtId="43" fontId="4" fillId="2" borderId="1" xfId="1" applyFont="1" applyFill="1" applyBorder="1" applyAlignment="1">
      <alignment horizontal="center" vertical="center" wrapText="1"/>
    </xf>
    <xf numFmtId="165" fontId="4" fillId="2" borderId="1" xfId="1" applyNumberFormat="1" applyFont="1" applyFill="1" applyBorder="1" applyAlignment="1">
      <alignment horizontal="center" vertical="center" wrapText="1"/>
    </xf>
    <xf numFmtId="165" fontId="4" fillId="0" borderId="0" xfId="0" applyNumberFormat="1" applyFont="1" applyAlignment="1">
      <alignment vertical="center"/>
    </xf>
    <xf numFmtId="171" fontId="7" fillId="0" borderId="0" xfId="0" applyNumberFormat="1" applyFont="1"/>
    <xf numFmtId="0" fontId="59" fillId="0" borderId="0" xfId="0" applyFont="1"/>
    <xf numFmtId="165" fontId="5" fillId="20" borderId="5" xfId="0" applyNumberFormat="1" applyFont="1" applyFill="1" applyBorder="1" applyAlignment="1">
      <alignment horizontal="center" vertical="center" wrapText="1"/>
    </xf>
    <xf numFmtId="8" fontId="22" fillId="21" borderId="5" xfId="0" applyNumberFormat="1" applyFont="1" applyFill="1" applyBorder="1" applyAlignment="1">
      <alignment horizontal="center" vertical="center"/>
    </xf>
    <xf numFmtId="0" fontId="13" fillId="14" borderId="5" xfId="4" applyFont="1" applyFill="1" applyBorder="1" applyAlignment="1">
      <alignment vertical="center" wrapText="1"/>
    </xf>
    <xf numFmtId="0" fontId="4" fillId="3" borderId="1" xfId="0" applyFont="1" applyFill="1" applyBorder="1" applyAlignment="1">
      <alignment vertical="center"/>
    </xf>
    <xf numFmtId="0" fontId="9" fillId="3" borderId="1" xfId="0" applyFont="1" applyFill="1" applyBorder="1" applyAlignment="1">
      <alignment vertical="center"/>
    </xf>
    <xf numFmtId="4" fontId="4" fillId="3" borderId="1" xfId="0" applyNumberFormat="1" applyFont="1" applyFill="1" applyBorder="1" applyAlignment="1">
      <alignment vertical="center"/>
    </xf>
    <xf numFmtId="0" fontId="56" fillId="19" borderId="1" xfId="0" applyFont="1" applyFill="1" applyBorder="1" applyAlignment="1">
      <alignment horizontal="center" vertical="center"/>
    </xf>
    <xf numFmtId="43" fontId="56" fillId="19" borderId="1" xfId="1" applyFont="1" applyFill="1" applyBorder="1" applyAlignment="1">
      <alignment horizontal="center" vertical="center"/>
    </xf>
    <xf numFmtId="9" fontId="13" fillId="13" borderId="1" xfId="4" applyNumberFormat="1" applyFont="1" applyFill="1" applyBorder="1" applyAlignment="1">
      <alignment horizontal="center" vertical="center"/>
    </xf>
    <xf numFmtId="0" fontId="8" fillId="13" borderId="5" xfId="4" applyFont="1" applyFill="1" applyBorder="1" applyAlignment="1">
      <alignment horizontal="left" vertical="center" wrapText="1"/>
    </xf>
    <xf numFmtId="0" fontId="8" fillId="13" borderId="1" xfId="4" applyFont="1" applyFill="1" applyBorder="1" applyAlignment="1">
      <alignment horizontal="left" vertical="center" wrapText="1"/>
    </xf>
    <xf numFmtId="0" fontId="13" fillId="14" borderId="1" xfId="6" applyFont="1" applyFill="1" applyBorder="1" applyAlignment="1">
      <alignment horizontal="justify" vertical="center" wrapText="1"/>
    </xf>
    <xf numFmtId="0" fontId="7" fillId="2" borderId="5" xfId="0" applyFont="1" applyFill="1" applyBorder="1" applyAlignment="1">
      <alignment vertical="center" wrapText="1"/>
    </xf>
    <xf numFmtId="165" fontId="7" fillId="2" borderId="5" xfId="0" applyNumberFormat="1" applyFont="1" applyFill="1" applyBorder="1" applyAlignment="1">
      <alignment horizontal="center" vertical="center"/>
    </xf>
    <xf numFmtId="165" fontId="7" fillId="2" borderId="6" xfId="0" applyNumberFormat="1" applyFont="1" applyFill="1" applyBorder="1" applyAlignment="1">
      <alignment horizontal="center" vertical="center"/>
    </xf>
    <xf numFmtId="165" fontId="8" fillId="2" borderId="4"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3" borderId="5" xfId="0" applyFill="1" applyBorder="1" applyAlignment="1">
      <alignment horizontal="center" vertical="center" wrapText="1"/>
    </xf>
    <xf numFmtId="0" fontId="18" fillId="0" borderId="0" xfId="0" applyFont="1" applyAlignment="1">
      <alignment vertical="center"/>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0" fillId="2" borderId="1" xfId="0" applyFill="1" applyBorder="1" applyAlignment="1">
      <alignment horizontal="justify" vertical="center" wrapText="1"/>
    </xf>
    <xf numFmtId="0" fontId="51" fillId="19" borderId="1" xfId="0" applyFont="1" applyFill="1" applyBorder="1" applyAlignment="1">
      <alignment horizontal="center" vertical="center"/>
    </xf>
    <xf numFmtId="0" fontId="51" fillId="19" borderId="1" xfId="0" applyFont="1" applyFill="1" applyBorder="1" applyAlignment="1">
      <alignment horizontal="center" vertical="center" wrapText="1"/>
    </xf>
    <xf numFmtId="0" fontId="51" fillId="19" borderId="1" xfId="0" applyFont="1" applyFill="1" applyBorder="1" applyAlignment="1">
      <alignment horizontal="left"/>
    </xf>
    <xf numFmtId="165" fontId="51" fillId="19" borderId="1" xfId="0" applyNumberFormat="1" applyFont="1" applyFill="1" applyBorder="1" applyAlignment="1">
      <alignment horizontal="right"/>
    </xf>
    <xf numFmtId="0" fontId="7" fillId="0" borderId="15" xfId="0" applyFont="1" applyBorder="1"/>
    <xf numFmtId="0" fontId="1" fillId="0" borderId="0" xfId="0" applyFont="1"/>
    <xf numFmtId="0" fontId="65" fillId="0" borderId="0" xfId="0" applyFont="1"/>
    <xf numFmtId="0" fontId="1" fillId="0" borderId="15" xfId="0" applyFont="1" applyBorder="1"/>
    <xf numFmtId="165" fontId="7" fillId="0" borderId="0" xfId="0" applyNumberFormat="1" applyFont="1"/>
    <xf numFmtId="165" fontId="5" fillId="20" borderId="1" xfId="0" applyNumberFormat="1" applyFont="1" applyFill="1" applyBorder="1" applyAlignment="1">
      <alignment horizontal="center" vertical="center" wrapText="1"/>
    </xf>
    <xf numFmtId="43" fontId="7" fillId="2" borderId="1" xfId="1" applyFont="1" applyFill="1" applyBorder="1" applyAlignment="1">
      <alignment horizontal="center" vertical="center"/>
    </xf>
    <xf numFmtId="43" fontId="7" fillId="3" borderId="1" xfId="1" applyFont="1" applyFill="1" applyBorder="1" applyAlignment="1">
      <alignment horizontal="center" vertical="center"/>
    </xf>
    <xf numFmtId="0" fontId="13" fillId="18" borderId="1" xfId="0" applyFont="1" applyFill="1" applyBorder="1" applyAlignment="1">
      <alignment horizontal="justify" vertical="center" wrapText="1"/>
    </xf>
    <xf numFmtId="0" fontId="13" fillId="18" borderId="1" xfId="0" applyFont="1" applyFill="1" applyBorder="1" applyAlignment="1">
      <alignment horizontal="center" vertical="center"/>
    </xf>
    <xf numFmtId="0" fontId="13" fillId="2" borderId="1" xfId="0" applyFont="1" applyFill="1" applyBorder="1" applyAlignment="1">
      <alignment horizontal="left" vertical="center" wrapText="1"/>
    </xf>
    <xf numFmtId="9" fontId="13" fillId="2" borderId="1" xfId="0" applyNumberFormat="1" applyFont="1" applyFill="1" applyBorder="1" applyAlignment="1">
      <alignment horizontal="center" vertical="center" wrapText="1"/>
    </xf>
    <xf numFmtId="43" fontId="7" fillId="2" borderId="1" xfId="1" applyFont="1" applyFill="1" applyBorder="1" applyAlignment="1">
      <alignment horizontal="right" vertical="center"/>
    </xf>
    <xf numFmtId="0" fontId="68" fillId="20" borderId="1" xfId="0" applyFont="1" applyFill="1" applyBorder="1" applyAlignment="1">
      <alignment horizontal="center" vertical="center" wrapText="1"/>
    </xf>
    <xf numFmtId="0" fontId="67" fillId="2" borderId="5" xfId="0" applyFont="1" applyFill="1" applyBorder="1" applyAlignment="1">
      <alignment horizontal="left" vertical="center" wrapText="1"/>
    </xf>
    <xf numFmtId="0" fontId="67" fillId="2" borderId="5" xfId="0" applyFont="1" applyFill="1" applyBorder="1" applyAlignment="1">
      <alignment horizontal="center" vertical="center" wrapText="1"/>
    </xf>
    <xf numFmtId="0" fontId="67" fillId="2" borderId="1" xfId="0" applyFont="1" applyFill="1" applyBorder="1" applyAlignment="1">
      <alignment horizontal="center" vertical="center"/>
    </xf>
    <xf numFmtId="0" fontId="67" fillId="2" borderId="1" xfId="0" applyFont="1" applyFill="1" applyBorder="1" applyAlignment="1">
      <alignment horizontal="justify" vertical="center" wrapText="1"/>
    </xf>
    <xf numFmtId="0" fontId="66" fillId="2" borderId="1" xfId="0" applyFont="1" applyFill="1" applyBorder="1" applyAlignment="1">
      <alignment horizontal="center" vertical="center" wrapText="1"/>
    </xf>
    <xf numFmtId="165" fontId="66" fillId="2" borderId="1" xfId="0" applyNumberFormat="1" applyFont="1" applyFill="1" applyBorder="1" applyAlignment="1">
      <alignment vertical="center" wrapText="1"/>
    </xf>
    <xf numFmtId="0" fontId="69" fillId="2" borderId="1" xfId="0" applyFont="1" applyFill="1" applyBorder="1" applyAlignment="1">
      <alignment horizontal="center" vertical="center" wrapText="1"/>
    </xf>
    <xf numFmtId="0" fontId="67" fillId="2" borderId="6" xfId="0" applyFont="1" applyFill="1" applyBorder="1" applyAlignment="1">
      <alignment horizontal="left" vertical="center" wrapText="1"/>
    </xf>
    <xf numFmtId="0" fontId="67" fillId="3" borderId="1" xfId="0" applyFont="1" applyFill="1" applyBorder="1" applyAlignment="1">
      <alignment horizontal="justify" vertical="center" wrapText="1"/>
    </xf>
    <xf numFmtId="0" fontId="67" fillId="3" borderId="1" xfId="0" applyFont="1" applyFill="1" applyBorder="1" applyAlignment="1">
      <alignment horizontal="justify" vertical="center"/>
    </xf>
    <xf numFmtId="0" fontId="67" fillId="3" borderId="1" xfId="0" applyFont="1" applyFill="1" applyBorder="1" applyAlignment="1">
      <alignment horizontal="center" vertical="center" wrapText="1"/>
    </xf>
    <xf numFmtId="0" fontId="67" fillId="3" borderId="1" xfId="0" applyFont="1" applyFill="1" applyBorder="1" applyAlignment="1">
      <alignment horizontal="center" vertical="center"/>
    </xf>
    <xf numFmtId="0" fontId="66" fillId="3" borderId="1" xfId="0" applyFont="1" applyFill="1" applyBorder="1" applyAlignment="1">
      <alignment horizontal="center" vertical="center" wrapText="1"/>
    </xf>
    <xf numFmtId="165" fontId="66" fillId="3" borderId="1" xfId="0" applyNumberFormat="1" applyFont="1" applyFill="1" applyBorder="1" applyAlignment="1">
      <alignment vertical="center" wrapText="1"/>
    </xf>
    <xf numFmtId="0" fontId="69" fillId="3" borderId="1" xfId="0" applyFont="1" applyFill="1" applyBorder="1" applyAlignment="1">
      <alignment horizontal="center" vertical="center" wrapText="1"/>
    </xf>
    <xf numFmtId="0" fontId="69" fillId="3" borderId="1" xfId="0" applyFont="1" applyFill="1" applyBorder="1" applyAlignment="1">
      <alignment vertical="center" wrapText="1"/>
    </xf>
    <xf numFmtId="0" fontId="67" fillId="2" borderId="11" xfId="0" applyFont="1" applyFill="1" applyBorder="1" applyAlignment="1">
      <alignment horizontal="left" vertical="center" wrapText="1"/>
    </xf>
    <xf numFmtId="0" fontId="69" fillId="2" borderId="1" xfId="0" applyFont="1" applyFill="1" applyBorder="1" applyAlignment="1">
      <alignment vertical="center" wrapText="1"/>
    </xf>
    <xf numFmtId="0" fontId="70" fillId="3" borderId="1" xfId="0" applyFont="1" applyFill="1" applyBorder="1" applyAlignment="1">
      <alignment horizontal="center" vertical="center"/>
    </xf>
    <xf numFmtId="0" fontId="66" fillId="3" borderId="1" xfId="0" applyFont="1" applyFill="1" applyBorder="1" applyAlignment="1">
      <alignment horizontal="center" vertical="center"/>
    </xf>
    <xf numFmtId="0" fontId="70" fillId="2" borderId="1" xfId="0" applyFont="1" applyFill="1" applyBorder="1" applyAlignment="1">
      <alignment horizontal="center" vertical="center"/>
    </xf>
    <xf numFmtId="0" fontId="66" fillId="2" borderId="1" xfId="0" applyFont="1" applyFill="1" applyBorder="1" applyAlignment="1">
      <alignment horizontal="center" vertical="center"/>
    </xf>
    <xf numFmtId="0" fontId="67" fillId="3" borderId="1" xfId="0" applyFont="1" applyFill="1" applyBorder="1" applyAlignment="1">
      <alignment vertical="center"/>
    </xf>
    <xf numFmtId="0" fontId="69" fillId="3" borderId="1" xfId="0" applyFont="1" applyFill="1" applyBorder="1" applyAlignment="1">
      <alignment horizontal="center" vertical="center"/>
    </xf>
    <xf numFmtId="0" fontId="71" fillId="3" borderId="1" xfId="0" applyFont="1" applyFill="1" applyBorder="1" applyAlignment="1">
      <alignment vertical="center" wrapText="1"/>
    </xf>
    <xf numFmtId="0" fontId="67" fillId="3" borderId="1" xfId="0" applyFont="1" applyFill="1" applyBorder="1" applyAlignment="1">
      <alignment vertical="center" wrapText="1"/>
    </xf>
    <xf numFmtId="0" fontId="67" fillId="3" borderId="6" xfId="0" applyFont="1" applyFill="1" applyBorder="1" applyAlignment="1">
      <alignment horizontal="left" vertical="center" wrapText="1"/>
    </xf>
    <xf numFmtId="0" fontId="67" fillId="2" borderId="1" xfId="0" applyFont="1" applyFill="1" applyBorder="1" applyAlignment="1">
      <alignment horizontal="center" vertical="center" wrapText="1"/>
    </xf>
    <xf numFmtId="0" fontId="67" fillId="2" borderId="1" xfId="0" applyFont="1" applyFill="1" applyBorder="1" applyAlignment="1">
      <alignment horizontal="left" vertical="center" wrapText="1"/>
    </xf>
    <xf numFmtId="0" fontId="69" fillId="2" borderId="1" xfId="0" applyFont="1" applyFill="1" applyBorder="1" applyAlignment="1">
      <alignment horizontal="center" vertical="center"/>
    </xf>
    <xf numFmtId="0" fontId="71" fillId="2" borderId="1" xfId="0" applyFont="1" applyFill="1" applyBorder="1" applyAlignment="1">
      <alignment vertical="center" wrapText="1"/>
    </xf>
    <xf numFmtId="0" fontId="67" fillId="3" borderId="1" xfId="0" applyFont="1" applyFill="1" applyBorder="1" applyAlignment="1">
      <alignment horizontal="left" vertical="center" wrapText="1"/>
    </xf>
    <xf numFmtId="0" fontId="67" fillId="2" borderId="1" xfId="0" applyFont="1" applyFill="1" applyBorder="1" applyAlignment="1">
      <alignment horizontal="justify" vertical="center"/>
    </xf>
    <xf numFmtId="9" fontId="67" fillId="3" borderId="1" xfId="0" applyNumberFormat="1" applyFont="1" applyFill="1" applyBorder="1" applyAlignment="1">
      <alignment horizontal="center" vertical="center" wrapText="1"/>
    </xf>
    <xf numFmtId="9" fontId="66" fillId="3" borderId="1" xfId="0" applyNumberFormat="1" applyFont="1" applyFill="1" applyBorder="1" applyAlignment="1">
      <alignment horizontal="center" vertical="center" wrapText="1"/>
    </xf>
    <xf numFmtId="165" fontId="68" fillId="19" borderId="1" xfId="0" applyNumberFormat="1" applyFont="1" applyFill="1" applyBorder="1" applyAlignment="1">
      <alignment horizontal="center" vertical="center"/>
    </xf>
    <xf numFmtId="0" fontId="68" fillId="19" borderId="1" xfId="0" applyFont="1" applyFill="1" applyBorder="1"/>
    <xf numFmtId="0" fontId="67" fillId="0" borderId="0" xfId="0" applyFont="1"/>
    <xf numFmtId="0" fontId="67" fillId="0" borderId="0" xfId="0" applyFont="1" applyAlignment="1">
      <alignment horizontal="center"/>
    </xf>
    <xf numFmtId="0" fontId="69" fillId="0" borderId="0" xfId="0" applyFont="1" applyAlignment="1">
      <alignment wrapText="1"/>
    </xf>
    <xf numFmtId="0" fontId="69" fillId="0" borderId="0" xfId="0" applyFont="1"/>
    <xf numFmtId="0" fontId="39" fillId="0" borderId="0" xfId="0" applyFont="1"/>
    <xf numFmtId="0" fontId="69" fillId="0" borderId="0" xfId="0" applyFont="1" applyAlignment="1">
      <alignment horizontal="center"/>
    </xf>
    <xf numFmtId="0" fontId="68" fillId="19" borderId="1" xfId="0" applyFont="1" applyFill="1" applyBorder="1" applyAlignment="1">
      <alignment horizontal="left"/>
    </xf>
    <xf numFmtId="165" fontId="7" fillId="2" borderId="1" xfId="0" applyNumberFormat="1" applyFont="1" applyFill="1" applyBorder="1" applyAlignment="1">
      <alignment horizontal="right" vertical="center"/>
    </xf>
    <xf numFmtId="0" fontId="38" fillId="0" borderId="0" xfId="0" applyFont="1" applyAlignment="1">
      <alignment horizontal="center"/>
    </xf>
    <xf numFmtId="0" fontId="1" fillId="0" borderId="0" xfId="0" applyFont="1" applyAlignment="1">
      <alignment horizontal="center"/>
    </xf>
    <xf numFmtId="0" fontId="5" fillId="19" borderId="2" xfId="0" applyFont="1" applyFill="1" applyBorder="1" applyAlignment="1">
      <alignment horizontal="right"/>
    </xf>
    <xf numFmtId="0" fontId="5" fillId="19" borderId="3" xfId="0" applyFont="1" applyFill="1" applyBorder="1" applyAlignment="1">
      <alignment horizontal="right"/>
    </xf>
    <xf numFmtId="0" fontId="5" fillId="19" borderId="1" xfId="0" applyFont="1" applyFill="1" applyBorder="1" applyAlignment="1">
      <alignment horizontal="center"/>
    </xf>
    <xf numFmtId="0" fontId="7" fillId="0" borderId="15" xfId="0" applyFont="1" applyBorder="1" applyAlignment="1">
      <alignment horizontal="center"/>
    </xf>
    <xf numFmtId="0" fontId="36" fillId="0" borderId="0" xfId="0" applyFont="1" applyAlignment="1">
      <alignment horizontal="center"/>
    </xf>
    <xf numFmtId="0" fontId="7" fillId="2" borderId="6" xfId="0" applyFont="1" applyFill="1" applyBorder="1" applyAlignment="1">
      <alignment horizontal="left" vertical="center" wrapText="1"/>
    </xf>
    <xf numFmtId="0" fontId="7" fillId="2" borderId="5" xfId="0" applyFont="1" applyFill="1" applyBorder="1" applyAlignment="1">
      <alignment horizontal="center" vertical="center"/>
    </xf>
    <xf numFmtId="0" fontId="6" fillId="0" borderId="0" xfId="0" applyFont="1" applyAlignment="1">
      <alignment horizontal="center"/>
    </xf>
    <xf numFmtId="43" fontId="7" fillId="0" borderId="1" xfId="1" applyFont="1" applyFill="1" applyBorder="1" applyAlignment="1">
      <alignment horizontal="center" vertical="center"/>
    </xf>
    <xf numFmtId="6" fontId="7" fillId="0" borderId="1" xfId="1" applyNumberFormat="1" applyFont="1" applyFill="1" applyBorder="1" applyAlignment="1">
      <alignment horizontal="center" vertical="center"/>
    </xf>
    <xf numFmtId="43" fontId="7" fillId="0" borderId="1" xfId="1" applyFont="1" applyFill="1" applyBorder="1" applyAlignment="1">
      <alignment vertical="center"/>
    </xf>
    <xf numFmtId="0" fontId="7" fillId="26" borderId="1" xfId="0" applyFont="1" applyFill="1" applyBorder="1" applyAlignment="1">
      <alignment horizontal="center" vertical="center" wrapText="1"/>
    </xf>
    <xf numFmtId="0" fontId="7" fillId="26" borderId="1" xfId="0" applyFont="1" applyFill="1" applyBorder="1" applyAlignment="1">
      <alignment horizontal="center" vertical="center"/>
    </xf>
    <xf numFmtId="165" fontId="7" fillId="26" borderId="1" xfId="7" applyNumberFormat="1" applyFont="1" applyFill="1" applyBorder="1" applyAlignment="1">
      <alignment horizontal="center" vertical="center" wrapText="1"/>
    </xf>
    <xf numFmtId="43" fontId="7" fillId="26" borderId="1" xfId="1" applyFont="1" applyFill="1" applyBorder="1" applyAlignment="1">
      <alignment horizontal="center" vertical="center"/>
    </xf>
    <xf numFmtId="8" fontId="7" fillId="26" borderId="1" xfId="1" applyNumberFormat="1" applyFont="1" applyFill="1" applyBorder="1" applyAlignment="1">
      <alignment horizontal="center" vertical="center"/>
    </xf>
    <xf numFmtId="43" fontId="7" fillId="26" borderId="1" xfId="1" applyFont="1" applyFill="1" applyBorder="1" applyAlignment="1">
      <alignment vertical="center"/>
    </xf>
    <xf numFmtId="0" fontId="7" fillId="26" borderId="1" xfId="0" applyFont="1" applyFill="1" applyBorder="1"/>
    <xf numFmtId="0" fontId="7" fillId="26" borderId="1" xfId="0" applyFont="1" applyFill="1" applyBorder="1" applyAlignment="1">
      <alignment horizontal="center" wrapText="1"/>
    </xf>
    <xf numFmtId="0" fontId="7" fillId="26" borderId="1" xfId="0" applyFont="1" applyFill="1" applyBorder="1" applyAlignment="1">
      <alignment horizontal="left" vertical="center" wrapText="1"/>
    </xf>
    <xf numFmtId="6" fontId="7" fillId="26" borderId="1" xfId="1" applyNumberFormat="1" applyFont="1" applyFill="1" applyBorder="1" applyAlignment="1">
      <alignment horizontal="center" vertical="center"/>
    </xf>
    <xf numFmtId="165" fontId="7" fillId="26" borderId="1" xfId="1" applyNumberFormat="1" applyFont="1" applyFill="1" applyBorder="1" applyAlignment="1">
      <alignment horizontal="center" vertical="center"/>
    </xf>
    <xf numFmtId="0" fontId="7" fillId="26" borderId="1" xfId="0" applyFont="1" applyFill="1" applyBorder="1" applyAlignment="1">
      <alignment vertical="center" wrapText="1"/>
    </xf>
    <xf numFmtId="165" fontId="7" fillId="26" borderId="1" xfId="0" applyNumberFormat="1" applyFont="1" applyFill="1" applyBorder="1" applyAlignment="1">
      <alignment horizontal="center" vertical="center" wrapText="1"/>
    </xf>
    <xf numFmtId="0" fontId="41" fillId="26" borderId="1" xfId="0" applyFont="1" applyFill="1" applyBorder="1" applyAlignment="1">
      <alignment horizontal="center" wrapText="1"/>
    </xf>
    <xf numFmtId="0" fontId="7" fillId="26" borderId="1" xfId="0" applyFont="1" applyFill="1" applyBorder="1" applyAlignment="1">
      <alignment wrapText="1"/>
    </xf>
    <xf numFmtId="0" fontId="7" fillId="17" borderId="1" xfId="0" applyFont="1" applyFill="1" applyBorder="1" applyAlignment="1">
      <alignment vertical="center"/>
    </xf>
    <xf numFmtId="0" fontId="41" fillId="26" borderId="0" xfId="0" applyFont="1" applyFill="1" applyAlignment="1">
      <alignment horizontal="center" wrapText="1"/>
    </xf>
    <xf numFmtId="0" fontId="7" fillId="0" borderId="1" xfId="0" applyFont="1" applyBorder="1" applyAlignment="1">
      <alignment wrapText="1"/>
    </xf>
    <xf numFmtId="9" fontId="7" fillId="0" borderId="1" xfId="0" applyNumberFormat="1" applyFont="1" applyBorder="1" applyAlignment="1">
      <alignment horizontal="center" vertical="center"/>
    </xf>
    <xf numFmtId="44" fontId="7" fillId="2" borderId="1" xfId="0" applyNumberFormat="1" applyFont="1" applyFill="1" applyBorder="1" applyAlignment="1">
      <alignment vertical="center"/>
    </xf>
    <xf numFmtId="44" fontId="7" fillId="0" borderId="1" xfId="0" applyNumberFormat="1" applyFont="1" applyBorder="1" applyAlignment="1">
      <alignment vertical="center"/>
    </xf>
    <xf numFmtId="44" fontId="5" fillId="20" borderId="1" xfId="0" applyNumberFormat="1" applyFont="1" applyFill="1" applyBorder="1" applyAlignment="1">
      <alignment horizontal="center" vertical="center" wrapText="1"/>
    </xf>
    <xf numFmtId="44" fontId="7" fillId="0" borderId="0" xfId="0" applyNumberFormat="1" applyFont="1"/>
    <xf numFmtId="0" fontId="72" fillId="0" borderId="0" xfId="0" applyFont="1"/>
    <xf numFmtId="0" fontId="73" fillId="0" borderId="0" xfId="0" applyFont="1"/>
    <xf numFmtId="0" fontId="72" fillId="0" borderId="0" xfId="0" applyFont="1" applyAlignment="1">
      <alignment horizontal="center" wrapText="1"/>
    </xf>
    <xf numFmtId="0" fontId="7" fillId="3" borderId="5" xfId="0" applyFont="1" applyFill="1" applyBorder="1" applyAlignment="1">
      <alignment horizontal="center" vertical="center"/>
    </xf>
    <xf numFmtId="9" fontId="7" fillId="3" borderId="1" xfId="0" applyNumberFormat="1" applyFont="1" applyFill="1" applyBorder="1" applyAlignment="1">
      <alignment horizontal="center" vertical="center"/>
    </xf>
    <xf numFmtId="165" fontId="7" fillId="3" borderId="1" xfId="0" applyNumberFormat="1" applyFont="1" applyFill="1" applyBorder="1" applyAlignment="1">
      <alignment horizontal="center" vertical="center"/>
    </xf>
    <xf numFmtId="1" fontId="7" fillId="3" borderId="1" xfId="1" applyNumberFormat="1" applyFont="1" applyFill="1" applyBorder="1" applyAlignment="1">
      <alignment horizontal="center" vertical="center"/>
    </xf>
    <xf numFmtId="4" fontId="4" fillId="0" borderId="0" xfId="0" applyNumberFormat="1" applyFont="1"/>
    <xf numFmtId="0" fontId="13" fillId="12" borderId="5" xfId="4" applyFont="1" applyFill="1" applyBorder="1" applyAlignment="1">
      <alignment horizontal="left" vertical="center" wrapText="1"/>
    </xf>
    <xf numFmtId="0" fontId="13" fillId="12" borderId="5" xfId="4" applyFont="1" applyFill="1" applyBorder="1" applyAlignment="1">
      <alignment horizontal="center" vertical="center" wrapText="1"/>
    </xf>
    <xf numFmtId="9" fontId="13" fillId="12" borderId="5" xfId="4" applyNumberFormat="1" applyFont="1" applyFill="1" applyBorder="1" applyAlignment="1">
      <alignment horizontal="center" vertical="center" wrapText="1"/>
    </xf>
    <xf numFmtId="0" fontId="13" fillId="12" borderId="5" xfId="4" applyFont="1" applyFill="1" applyBorder="1" applyAlignment="1">
      <alignment horizontal="left" vertical="center"/>
    </xf>
    <xf numFmtId="9" fontId="13" fillId="13" borderId="5" xfId="4" applyNumberFormat="1" applyFont="1" applyFill="1" applyBorder="1" applyAlignment="1">
      <alignment horizontal="left" vertical="center"/>
    </xf>
    <xf numFmtId="9" fontId="13" fillId="13" borderId="5" xfId="4" applyNumberFormat="1" applyFont="1" applyFill="1" applyBorder="1" applyAlignment="1">
      <alignment horizontal="center" vertical="center" wrapText="1"/>
    </xf>
    <xf numFmtId="168" fontId="22" fillId="23" borderId="6" xfId="4" applyNumberFormat="1" applyFont="1" applyFill="1" applyBorder="1" applyAlignment="1">
      <alignment horizontal="center" vertical="center" wrapText="1"/>
    </xf>
    <xf numFmtId="9" fontId="0" fillId="0" borderId="0" xfId="8" applyFont="1" applyFill="1" applyBorder="1" applyAlignment="1">
      <alignment horizontal="center" vertical="center"/>
    </xf>
    <xf numFmtId="9" fontId="74" fillId="0" borderId="0" xfId="8" applyFont="1" applyFill="1" applyBorder="1" applyAlignment="1">
      <alignment horizontal="center" vertical="center"/>
    </xf>
    <xf numFmtId="0" fontId="0" fillId="0" borderId="0" xfId="0" applyAlignment="1">
      <alignment horizontal="center" vertical="center" wrapText="1"/>
    </xf>
    <xf numFmtId="168" fontId="13" fillId="0" borderId="0" xfId="4" applyNumberFormat="1" applyFont="1"/>
    <xf numFmtId="43" fontId="4" fillId="0" borderId="0" xfId="0" applyNumberFormat="1" applyFont="1"/>
    <xf numFmtId="0" fontId="4" fillId="3" borderId="0" xfId="0" applyFont="1" applyFill="1" applyAlignment="1">
      <alignment vertical="center" wrapText="1"/>
    </xf>
    <xf numFmtId="0" fontId="9" fillId="3" borderId="0" xfId="0" applyFont="1" applyFill="1"/>
    <xf numFmtId="0" fontId="9" fillId="3" borderId="1" xfId="0" applyFont="1" applyFill="1" applyBorder="1"/>
    <xf numFmtId="0" fontId="4" fillId="3" borderId="0" xfId="0" applyFont="1" applyFill="1" applyAlignment="1">
      <alignment wrapText="1"/>
    </xf>
    <xf numFmtId="0" fontId="13" fillId="2" borderId="5" xfId="0" applyFont="1" applyFill="1" applyBorder="1" applyAlignment="1">
      <alignment horizontal="left" vertical="center" wrapText="1"/>
    </xf>
    <xf numFmtId="0" fontId="13" fillId="2" borderId="5" xfId="0" applyFont="1" applyFill="1" applyBorder="1" applyAlignment="1">
      <alignment horizontal="center" vertical="center" wrapText="1"/>
    </xf>
    <xf numFmtId="0" fontId="13" fillId="2" borderId="5" xfId="0" applyFont="1" applyFill="1" applyBorder="1" applyAlignment="1">
      <alignment wrapText="1"/>
    </xf>
    <xf numFmtId="9" fontId="13" fillId="2" borderId="5" xfId="0" applyNumberFormat="1" applyFont="1" applyFill="1" applyBorder="1" applyAlignment="1">
      <alignment horizontal="center" vertical="center" wrapText="1"/>
    </xf>
    <xf numFmtId="43" fontId="7" fillId="2" borderId="5" xfId="1" applyFont="1" applyFill="1" applyBorder="1" applyAlignment="1">
      <alignment horizontal="right" vertical="center" wrapText="1"/>
    </xf>
    <xf numFmtId="0" fontId="13" fillId="2" borderId="6" xfId="0" applyFont="1" applyFill="1" applyBorder="1" applyAlignment="1">
      <alignment horizontal="left" vertical="center" wrapText="1"/>
    </xf>
    <xf numFmtId="0" fontId="13" fillId="2" borderId="6" xfId="0" applyFont="1" applyFill="1" applyBorder="1" applyAlignment="1">
      <alignment horizontal="center" vertical="center" wrapText="1"/>
    </xf>
    <xf numFmtId="9" fontId="13" fillId="2" borderId="6" xfId="0" applyNumberFormat="1" applyFont="1" applyFill="1" applyBorder="1" applyAlignment="1">
      <alignment horizontal="center" vertical="center" wrapText="1"/>
    </xf>
    <xf numFmtId="9" fontId="13" fillId="2" borderId="6" xfId="3" applyFont="1" applyFill="1" applyBorder="1" applyAlignment="1">
      <alignment horizontal="center" vertical="center" wrapText="1"/>
    </xf>
    <xf numFmtId="43" fontId="13" fillId="2" borderId="6" xfId="1" applyFont="1" applyFill="1" applyBorder="1" applyAlignment="1">
      <alignment horizontal="right" vertical="center" wrapText="1"/>
    </xf>
    <xf numFmtId="0" fontId="11" fillId="0" borderId="0" xfId="0" applyFont="1" applyAlignment="1">
      <alignment horizontal="justify" vertical="center" wrapText="1"/>
    </xf>
    <xf numFmtId="4" fontId="8" fillId="0" borderId="1" xfId="1" applyNumberFormat="1" applyFont="1" applyFill="1" applyBorder="1" applyAlignment="1">
      <alignment horizontal="center" vertical="center" wrapText="1"/>
    </xf>
    <xf numFmtId="4" fontId="8" fillId="0" borderId="1" xfId="0" applyNumberFormat="1" applyFont="1" applyBorder="1" applyAlignment="1">
      <alignment horizontal="center" vertical="center"/>
    </xf>
    <xf numFmtId="0" fontId="8" fillId="0" borderId="1" xfId="1" applyNumberFormat="1" applyFont="1" applyFill="1" applyBorder="1" applyAlignment="1">
      <alignment horizontal="center" vertical="center" wrapText="1"/>
    </xf>
    <xf numFmtId="4" fontId="8" fillId="0" borderId="1" xfId="1" applyNumberFormat="1" applyFont="1" applyFill="1" applyBorder="1" applyAlignment="1">
      <alignment horizontal="center" vertical="center"/>
    </xf>
    <xf numFmtId="0" fontId="4" fillId="0" borderId="0" xfId="9" applyFont="1"/>
    <xf numFmtId="0" fontId="4" fillId="0" borderId="0" xfId="9" applyFont="1" applyAlignment="1">
      <alignment wrapText="1"/>
    </xf>
    <xf numFmtId="0" fontId="7" fillId="0" borderId="0" xfId="9" applyFont="1"/>
    <xf numFmtId="0" fontId="7" fillId="0" borderId="0" xfId="9" applyFont="1" applyAlignment="1">
      <alignment wrapText="1"/>
    </xf>
    <xf numFmtId="0" fontId="5" fillId="20" borderId="5" xfId="9" applyFont="1" applyFill="1" applyBorder="1" applyAlignment="1">
      <alignment horizontal="center" vertical="center" wrapText="1"/>
    </xf>
    <xf numFmtId="165" fontId="5" fillId="20" borderId="5" xfId="9" applyNumberFormat="1" applyFont="1" applyFill="1" applyBorder="1" applyAlignment="1">
      <alignment horizontal="center" vertical="center" wrapText="1"/>
    </xf>
    <xf numFmtId="0" fontId="29" fillId="0" borderId="0" xfId="9" applyFont="1"/>
    <xf numFmtId="0" fontId="8" fillId="2" borderId="1" xfId="9" applyFont="1" applyFill="1" applyBorder="1" applyAlignment="1">
      <alignment horizontal="center" vertical="center" wrapText="1"/>
    </xf>
    <xf numFmtId="0" fontId="7" fillId="2" borderId="1" xfId="9" applyFont="1" applyFill="1" applyBorder="1" applyAlignment="1">
      <alignment horizontal="center" vertical="center"/>
    </xf>
    <xf numFmtId="0" fontId="8" fillId="0" borderId="6" xfId="9" applyFont="1" applyBorder="1" applyAlignment="1">
      <alignment horizontal="center" vertical="center" wrapText="1"/>
    </xf>
    <xf numFmtId="0" fontId="8" fillId="2" borderId="1" xfId="9" applyFont="1" applyFill="1" applyBorder="1" applyAlignment="1">
      <alignment horizontal="justify" vertical="center" wrapText="1"/>
    </xf>
    <xf numFmtId="0" fontId="29" fillId="3" borderId="0" xfId="9" applyFont="1" applyFill="1"/>
    <xf numFmtId="0" fontId="8" fillId="3" borderId="5" xfId="9" applyFont="1" applyFill="1" applyBorder="1" applyAlignment="1">
      <alignment horizontal="center" vertical="center" wrapText="1"/>
    </xf>
    <xf numFmtId="0" fontId="29" fillId="2" borderId="1" xfId="9" applyFont="1" applyFill="1" applyBorder="1"/>
    <xf numFmtId="165" fontId="7" fillId="2" borderId="5" xfId="9" applyNumberFormat="1" applyFont="1" applyFill="1" applyBorder="1" applyAlignment="1">
      <alignment horizontal="center" vertical="center" wrapText="1"/>
    </xf>
    <xf numFmtId="0" fontId="8" fillId="2" borderId="1" xfId="9" applyFont="1" applyFill="1" applyBorder="1" applyAlignment="1">
      <alignment horizontal="left" vertical="center" wrapText="1"/>
    </xf>
    <xf numFmtId="3" fontId="8" fillId="2" borderId="1" xfId="9" applyNumberFormat="1" applyFont="1" applyFill="1" applyBorder="1" applyAlignment="1">
      <alignment horizontal="center" vertical="center" wrapText="1"/>
    </xf>
    <xf numFmtId="0" fontId="7" fillId="2" borderId="5" xfId="9" applyFont="1" applyFill="1" applyBorder="1" applyAlignment="1">
      <alignment vertical="center" wrapText="1"/>
    </xf>
    <xf numFmtId="0" fontId="29" fillId="0" borderId="0" xfId="9" applyFont="1" applyAlignment="1">
      <alignment vertical="center" wrapText="1"/>
    </xf>
    <xf numFmtId="0" fontId="5" fillId="20" borderId="1" xfId="9" applyFont="1" applyFill="1" applyBorder="1" applyAlignment="1">
      <alignment horizontal="center" vertical="center" wrapText="1"/>
    </xf>
    <xf numFmtId="0" fontId="5" fillId="20" borderId="6" xfId="9" applyFont="1" applyFill="1" applyBorder="1" applyAlignment="1">
      <alignment horizontal="center" vertical="center" wrapText="1"/>
    </xf>
    <xf numFmtId="0" fontId="5" fillId="19" borderId="1" xfId="9" applyFont="1" applyFill="1" applyBorder="1" applyAlignment="1">
      <alignment horizontal="center" vertical="center"/>
    </xf>
    <xf numFmtId="0" fontId="3" fillId="0" borderId="0" xfId="9" applyFont="1" applyAlignment="1">
      <alignment horizontal="center"/>
    </xf>
    <xf numFmtId="0" fontId="3" fillId="0" borderId="0" xfId="9" applyFont="1" applyAlignment="1">
      <alignment horizontal="center" wrapText="1"/>
    </xf>
    <xf numFmtId="0" fontId="30" fillId="0" borderId="0" xfId="9" applyFont="1"/>
    <xf numFmtId="0" fontId="4" fillId="3" borderId="0" xfId="9" applyFont="1" applyFill="1"/>
    <xf numFmtId="0" fontId="4" fillId="0" borderId="0" xfId="9" applyFont="1" applyAlignment="1">
      <alignment horizontal="center" wrapText="1"/>
    </xf>
    <xf numFmtId="0" fontId="4" fillId="0" borderId="0" xfId="9" applyFont="1" applyAlignment="1">
      <alignment horizontal="center" vertical="center"/>
    </xf>
    <xf numFmtId="0" fontId="7" fillId="0" borderId="0" xfId="9" applyFont="1" applyAlignment="1">
      <alignment horizontal="center" wrapText="1"/>
    </xf>
    <xf numFmtId="0" fontId="7" fillId="0" borderId="0" xfId="9" applyFont="1" applyAlignment="1">
      <alignment horizontal="center" vertical="center"/>
    </xf>
    <xf numFmtId="0" fontId="29" fillId="19" borderId="1" xfId="9" applyFont="1" applyFill="1" applyBorder="1"/>
    <xf numFmtId="165" fontId="5" fillId="19" borderId="1" xfId="9" applyNumberFormat="1" applyFont="1" applyFill="1" applyBorder="1"/>
    <xf numFmtId="43" fontId="5" fillId="19" borderId="1" xfId="9" applyNumberFormat="1" applyFont="1" applyFill="1" applyBorder="1"/>
    <xf numFmtId="0" fontId="5" fillId="19" borderId="1" xfId="9" applyFont="1" applyFill="1" applyBorder="1" applyAlignment="1">
      <alignment horizontal="center" wrapText="1"/>
    </xf>
    <xf numFmtId="0" fontId="5" fillId="19" borderId="1" xfId="9" applyFont="1" applyFill="1" applyBorder="1"/>
    <xf numFmtId="0" fontId="5" fillId="19" borderId="1" xfId="9" applyFont="1" applyFill="1" applyBorder="1" applyAlignment="1">
      <alignment vertical="center" wrapText="1"/>
    </xf>
    <xf numFmtId="165" fontId="8" fillId="2" borderId="1" xfId="9" applyNumberFormat="1" applyFont="1" applyFill="1" applyBorder="1" applyAlignment="1">
      <alignment horizontal="center" vertical="center" wrapText="1"/>
    </xf>
    <xf numFmtId="43" fontId="8" fillId="2" borderId="1" xfId="10" applyFont="1" applyFill="1" applyBorder="1" applyAlignment="1">
      <alignment horizontal="center" vertical="center" wrapText="1"/>
    </xf>
    <xf numFmtId="3" fontId="8" fillId="2" borderId="1" xfId="9" applyNumberFormat="1" applyFont="1" applyFill="1" applyBorder="1" applyAlignment="1">
      <alignment horizontal="center" vertical="center"/>
    </xf>
    <xf numFmtId="0" fontId="8" fillId="2" borderId="1" xfId="9" applyFont="1" applyFill="1" applyBorder="1" applyAlignment="1">
      <alignment horizontal="center" vertical="center"/>
    </xf>
    <xf numFmtId="0" fontId="8" fillId="2" borderId="6" xfId="9" applyFont="1" applyFill="1" applyBorder="1" applyAlignment="1">
      <alignment horizontal="center" vertical="center"/>
    </xf>
    <xf numFmtId="0" fontId="29" fillId="3" borderId="1" xfId="9" applyFont="1" applyFill="1" applyBorder="1"/>
    <xf numFmtId="165" fontId="8" fillId="3" borderId="1" xfId="9" applyNumberFormat="1" applyFont="1" applyFill="1" applyBorder="1" applyAlignment="1">
      <alignment horizontal="center" vertical="center" wrapText="1"/>
    </xf>
    <xf numFmtId="43" fontId="8" fillId="0" borderId="6" xfId="10" applyFont="1" applyBorder="1" applyAlignment="1">
      <alignment horizontal="center" vertical="center"/>
    </xf>
    <xf numFmtId="165" fontId="8" fillId="0" borderId="6" xfId="9" applyNumberFormat="1" applyFont="1" applyBorder="1" applyAlignment="1">
      <alignment horizontal="center" vertical="center" wrapText="1"/>
    </xf>
    <xf numFmtId="165" fontId="8" fillId="3" borderId="6" xfId="9" applyNumberFormat="1" applyFont="1" applyFill="1" applyBorder="1" applyAlignment="1">
      <alignment horizontal="center" vertical="center" wrapText="1"/>
    </xf>
    <xf numFmtId="165" fontId="8" fillId="3" borderId="9" xfId="9" applyNumberFormat="1" applyFont="1" applyFill="1" applyBorder="1" applyAlignment="1">
      <alignment horizontal="center" vertical="center" wrapText="1"/>
    </xf>
    <xf numFmtId="0" fontId="8" fillId="3" borderId="1" xfId="9" applyFont="1" applyFill="1" applyBorder="1" applyAlignment="1">
      <alignment horizontal="center" vertical="center"/>
    </xf>
    <xf numFmtId="0" fontId="8" fillId="3" borderId="8" xfId="9" applyFont="1" applyFill="1" applyBorder="1" applyAlignment="1">
      <alignment horizontal="center" vertical="center"/>
    </xf>
    <xf numFmtId="0" fontId="8" fillId="0" borderId="6" xfId="9" applyFont="1" applyBorder="1" applyAlignment="1">
      <alignment horizontal="center" vertical="center"/>
    </xf>
    <xf numFmtId="0" fontId="8" fillId="0" borderId="1" xfId="9" applyFont="1" applyBorder="1" applyAlignment="1">
      <alignment horizontal="center" vertical="center" wrapText="1"/>
    </xf>
    <xf numFmtId="0" fontId="7" fillId="0" borderId="5" xfId="9" applyFont="1" applyBorder="1" applyAlignment="1">
      <alignment vertical="center" wrapText="1"/>
    </xf>
    <xf numFmtId="0" fontId="8" fillId="3" borderId="6" xfId="9" applyFont="1" applyFill="1" applyBorder="1" applyAlignment="1">
      <alignment horizontal="center" vertical="center"/>
    </xf>
    <xf numFmtId="0" fontId="7" fillId="0" borderId="7" xfId="9" applyFont="1" applyBorder="1" applyAlignment="1">
      <alignment vertical="center" wrapText="1"/>
    </xf>
    <xf numFmtId="165" fontId="8" fillId="0" borderId="1" xfId="9" applyNumberFormat="1" applyFont="1" applyBorder="1" applyAlignment="1">
      <alignment horizontal="center" vertical="center" wrapText="1"/>
    </xf>
    <xf numFmtId="43" fontId="8" fillId="3" borderId="1" xfId="10" applyFont="1" applyFill="1" applyBorder="1" applyAlignment="1">
      <alignment horizontal="center" vertical="center" wrapText="1"/>
    </xf>
    <xf numFmtId="0" fontId="8" fillId="3" borderId="4" xfId="9" applyFont="1" applyFill="1" applyBorder="1" applyAlignment="1">
      <alignment horizontal="left" vertical="center" wrapText="1"/>
    </xf>
    <xf numFmtId="0" fontId="8" fillId="3" borderId="1" xfId="9" applyFont="1" applyFill="1" applyBorder="1" applyAlignment="1">
      <alignment horizontal="center" vertical="center" wrapText="1"/>
    </xf>
    <xf numFmtId="0" fontId="8" fillId="3" borderId="4" xfId="9" applyFont="1" applyFill="1" applyBorder="1" applyAlignment="1">
      <alignment horizontal="left" vertical="center"/>
    </xf>
    <xf numFmtId="43" fontId="8" fillId="0" borderId="1" xfId="10" applyFont="1" applyBorder="1" applyAlignment="1">
      <alignment horizontal="center" vertical="center" wrapText="1"/>
    </xf>
    <xf numFmtId="0" fontId="7" fillId="3" borderId="1" xfId="9" applyFont="1" applyFill="1" applyBorder="1" applyAlignment="1">
      <alignment horizontal="center" vertical="center"/>
    </xf>
    <xf numFmtId="43" fontId="8" fillId="0" borderId="1" xfId="10" applyFont="1" applyBorder="1" applyAlignment="1">
      <alignment vertical="center" wrapText="1"/>
    </xf>
    <xf numFmtId="43" fontId="8" fillId="3" borderId="1" xfId="10" applyFont="1" applyFill="1" applyBorder="1" applyAlignment="1">
      <alignment vertical="center" wrapText="1"/>
    </xf>
    <xf numFmtId="165" fontId="8" fillId="0" borderId="1" xfId="9" applyNumberFormat="1" applyFont="1" applyBorder="1" applyAlignment="1">
      <alignment vertical="center" wrapText="1"/>
    </xf>
    <xf numFmtId="0" fontId="8" fillId="0" borderId="1" xfId="9" applyFont="1" applyBorder="1" applyAlignment="1">
      <alignment horizontal="center" vertical="center"/>
    </xf>
    <xf numFmtId="0" fontId="8" fillId="0" borderId="1" xfId="9" applyFont="1" applyBorder="1" applyAlignment="1">
      <alignment horizontal="left" vertical="center" wrapText="1"/>
    </xf>
    <xf numFmtId="0" fontId="8" fillId="0" borderId="5" xfId="9" applyFont="1" applyBorder="1" applyAlignment="1">
      <alignment horizontal="justify" vertical="center" wrapText="1"/>
    </xf>
    <xf numFmtId="0" fontId="29" fillId="3" borderId="0" xfId="9" applyFont="1" applyFill="1" applyAlignment="1">
      <alignment vertical="center" wrapText="1"/>
    </xf>
    <xf numFmtId="0" fontId="5" fillId="20" borderId="7" xfId="9" applyFont="1" applyFill="1" applyBorder="1" applyAlignment="1">
      <alignment horizontal="center" vertical="center" wrapText="1"/>
    </xf>
    <xf numFmtId="0" fontId="5" fillId="19" borderId="1" xfId="9" applyFont="1" applyFill="1" applyBorder="1" applyAlignment="1">
      <alignment horizontal="left"/>
    </xf>
    <xf numFmtId="0" fontId="30" fillId="3" borderId="0" xfId="9" applyFont="1" applyFill="1"/>
    <xf numFmtId="0" fontId="44" fillId="0" borderId="0" xfId="9" applyFont="1" applyAlignment="1">
      <alignment horizontal="center"/>
    </xf>
    <xf numFmtId="0" fontId="5" fillId="20" borderId="5" xfId="9" applyFont="1" applyFill="1" applyBorder="1" applyAlignment="1">
      <alignment horizontal="left" vertical="center" wrapText="1"/>
    </xf>
    <xf numFmtId="0" fontId="51" fillId="20" borderId="1"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165" fontId="9" fillId="2" borderId="1" xfId="0" applyNumberFormat="1" applyFont="1" applyFill="1" applyBorder="1" applyAlignment="1">
      <alignment horizontal="center" vertical="center" wrapText="1"/>
    </xf>
    <xf numFmtId="43" fontId="9" fillId="2" borderId="1" xfId="1"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165" fontId="9" fillId="3" borderId="1" xfId="0" applyNumberFormat="1" applyFont="1" applyFill="1" applyBorder="1" applyAlignment="1">
      <alignment horizontal="center" vertical="center" wrapText="1"/>
    </xf>
    <xf numFmtId="43" fontId="9" fillId="3" borderId="1" xfId="1" applyFont="1" applyFill="1" applyBorder="1" applyAlignment="1">
      <alignment horizontal="center" vertical="center" wrapText="1"/>
    </xf>
    <xf numFmtId="165" fontId="51" fillId="19" borderId="1" xfId="0" applyNumberFormat="1" applyFont="1" applyFill="1" applyBorder="1" applyAlignment="1">
      <alignment horizontal="center" vertical="center"/>
    </xf>
    <xf numFmtId="0" fontId="51" fillId="19" borderId="1" xfId="0" applyFont="1" applyFill="1" applyBorder="1"/>
    <xf numFmtId="0" fontId="1" fillId="0" borderId="0" xfId="0" applyFont="1" applyAlignment="1">
      <alignment vertical="top" wrapText="1"/>
    </xf>
    <xf numFmtId="0" fontId="5" fillId="19" borderId="1" xfId="9" applyFont="1" applyFill="1" applyBorder="1" applyAlignment="1">
      <alignment wrapText="1"/>
    </xf>
    <xf numFmtId="0" fontId="7" fillId="0" borderId="1" xfId="9" applyFont="1" applyBorder="1" applyAlignment="1">
      <alignment horizontal="left" vertical="center" wrapText="1"/>
    </xf>
    <xf numFmtId="0" fontId="8" fillId="0" borderId="1" xfId="9" applyFont="1" applyBorder="1" applyAlignment="1">
      <alignment horizontal="justify" vertical="center" wrapText="1"/>
    </xf>
    <xf numFmtId="0" fontId="7" fillId="0" borderId="1" xfId="9" applyFont="1" applyBorder="1" applyAlignment="1">
      <alignment horizontal="center" vertical="center"/>
    </xf>
    <xf numFmtId="0" fontId="7" fillId="0" borderId="1" xfId="9" applyFont="1" applyBorder="1" applyAlignment="1">
      <alignment horizontal="center"/>
    </xf>
    <xf numFmtId="165" fontId="7" fillId="0" borderId="1" xfId="9" applyNumberFormat="1" applyFont="1" applyBorder="1" applyAlignment="1">
      <alignment horizontal="center" vertical="center"/>
    </xf>
    <xf numFmtId="0" fontId="7" fillId="0" borderId="1" xfId="9" applyFont="1" applyBorder="1" applyAlignment="1">
      <alignment horizontal="center" vertical="center" wrapText="1"/>
    </xf>
    <xf numFmtId="0" fontId="29" fillId="2" borderId="1" xfId="9" applyFont="1" applyFill="1" applyBorder="1" applyAlignment="1">
      <alignment vertical="center"/>
    </xf>
    <xf numFmtId="0" fontId="29" fillId="2" borderId="1" xfId="9" applyFont="1" applyFill="1" applyBorder="1" applyAlignment="1">
      <alignment vertical="center" wrapText="1"/>
    </xf>
    <xf numFmtId="43" fontId="7" fillId="3" borderId="41" xfId="1" applyFont="1" applyFill="1" applyBorder="1" applyAlignment="1">
      <alignment horizontal="right" vertical="center"/>
    </xf>
    <xf numFmtId="43" fontId="7" fillId="2" borderId="1" xfId="1" applyFont="1" applyFill="1" applyBorder="1" applyAlignment="1">
      <alignment horizontal="center" vertical="center" wrapText="1"/>
    </xf>
    <xf numFmtId="43" fontId="7" fillId="3" borderId="1" xfId="1" applyFont="1" applyFill="1" applyBorder="1" applyAlignment="1">
      <alignment horizontal="center" vertical="center" wrapText="1"/>
    </xf>
    <xf numFmtId="0" fontId="9" fillId="2" borderId="1" xfId="0" applyFont="1" applyFill="1" applyBorder="1" applyAlignment="1">
      <alignment vertical="center" wrapText="1"/>
    </xf>
    <xf numFmtId="0" fontId="9" fillId="3" borderId="1" xfId="0" applyFont="1" applyFill="1" applyBorder="1" applyAlignment="1">
      <alignment vertical="center" wrapText="1"/>
    </xf>
    <xf numFmtId="1" fontId="8" fillId="0" borderId="1" xfId="0" applyNumberFormat="1" applyFont="1" applyBorder="1" applyAlignment="1">
      <alignment horizontal="center" vertical="center"/>
    </xf>
    <xf numFmtId="43" fontId="7" fillId="0" borderId="1" xfId="0" applyNumberFormat="1" applyFont="1" applyBorder="1" applyAlignment="1">
      <alignment horizontal="center" vertical="center"/>
    </xf>
    <xf numFmtId="0" fontId="31" fillId="0" borderId="0" xfId="0" applyFont="1"/>
    <xf numFmtId="0" fontId="8" fillId="19" borderId="1" xfId="0" applyFont="1" applyFill="1" applyBorder="1" applyAlignment="1">
      <alignment wrapText="1"/>
    </xf>
    <xf numFmtId="0" fontId="9" fillId="0" borderId="1" xfId="0" applyFont="1" applyBorder="1" applyAlignment="1">
      <alignment horizontal="center" vertical="center"/>
    </xf>
    <xf numFmtId="8" fontId="1" fillId="0" borderId="0" xfId="0" applyNumberFormat="1" applyFont="1"/>
    <xf numFmtId="1" fontId="1" fillId="0" borderId="1" xfId="0" applyNumberFormat="1" applyFont="1" applyBorder="1"/>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vertical="center"/>
    </xf>
    <xf numFmtId="0" fontId="1" fillId="0" borderId="1" xfId="0" applyFont="1" applyBorder="1" applyAlignment="1">
      <alignment vertical="center" wrapText="1"/>
    </xf>
    <xf numFmtId="0" fontId="13" fillId="2" borderId="5" xfId="4" applyFont="1" applyFill="1" applyBorder="1" applyAlignment="1">
      <alignment vertical="center" wrapText="1"/>
    </xf>
    <xf numFmtId="0" fontId="13" fillId="2" borderId="5" xfId="4" applyFont="1" applyFill="1" applyBorder="1" applyAlignment="1">
      <alignment horizontal="center" vertical="center" wrapText="1"/>
    </xf>
    <xf numFmtId="0" fontId="11" fillId="2" borderId="0" xfId="4" applyFont="1" applyFill="1"/>
    <xf numFmtId="9" fontId="13" fillId="2" borderId="5" xfId="4" applyNumberFormat="1" applyFont="1" applyFill="1" applyBorder="1" applyAlignment="1">
      <alignment horizontal="center" vertical="center" wrapText="1"/>
    </xf>
    <xf numFmtId="9" fontId="13" fillId="2" borderId="5" xfId="4" applyNumberFormat="1" applyFont="1" applyFill="1" applyBorder="1" applyAlignment="1">
      <alignment horizontal="left" vertical="center"/>
    </xf>
    <xf numFmtId="0" fontId="13" fillId="2" borderId="5" xfId="4" applyFont="1" applyFill="1" applyBorder="1" applyAlignment="1">
      <alignment horizontal="left" vertical="center"/>
    </xf>
    <xf numFmtId="0" fontId="0" fillId="3" borderId="0" xfId="0" applyFill="1" applyAlignment="1">
      <alignment horizontal="center" vertical="center" wrapText="1"/>
    </xf>
    <xf numFmtId="9" fontId="74" fillId="3" borderId="0" xfId="8" applyFont="1" applyFill="1" applyBorder="1" applyAlignment="1">
      <alignment horizontal="center" vertical="center"/>
    </xf>
    <xf numFmtId="9" fontId="0" fillId="3" borderId="0" xfId="8" applyFont="1" applyFill="1" applyBorder="1" applyAlignment="1">
      <alignment horizontal="center" vertical="center"/>
    </xf>
    <xf numFmtId="0" fontId="13" fillId="14" borderId="1" xfId="4" applyFont="1" applyFill="1" applyBorder="1" applyAlignment="1">
      <alignment horizontal="justify" vertical="center" wrapText="1"/>
    </xf>
    <xf numFmtId="9" fontId="13" fillId="2" borderId="7" xfId="4" applyNumberFormat="1" applyFont="1" applyFill="1" applyBorder="1" applyAlignment="1">
      <alignment horizontal="center" vertical="center" wrapText="1"/>
    </xf>
    <xf numFmtId="9" fontId="13" fillId="2" borderId="7" xfId="4" applyNumberFormat="1" applyFont="1" applyFill="1" applyBorder="1" applyAlignment="1">
      <alignment horizontal="left" vertical="center"/>
    </xf>
    <xf numFmtId="0" fontId="13" fillId="2" borderId="7" xfId="4" applyFont="1" applyFill="1" applyBorder="1" applyAlignment="1">
      <alignment horizontal="center" vertical="center" wrapText="1"/>
    </xf>
    <xf numFmtId="0" fontId="13" fillId="2" borderId="7" xfId="4" applyFont="1" applyFill="1" applyBorder="1" applyAlignment="1">
      <alignment horizontal="left" vertical="center"/>
    </xf>
    <xf numFmtId="0" fontId="13" fillId="2" borderId="7" xfId="4" applyFont="1" applyFill="1" applyBorder="1" applyAlignment="1">
      <alignment horizontal="left" vertical="center" wrapText="1"/>
    </xf>
    <xf numFmtId="0" fontId="8" fillId="14" borderId="1" xfId="4" applyFont="1" applyFill="1" applyBorder="1" applyAlignment="1">
      <alignment horizontal="justify" vertical="center" wrapText="1"/>
    </xf>
    <xf numFmtId="0" fontId="8" fillId="14" borderId="5" xfId="4" applyFont="1" applyFill="1" applyBorder="1" applyAlignment="1">
      <alignment horizontal="left" vertical="center" wrapText="1"/>
    </xf>
    <xf numFmtId="0" fontId="13" fillId="2" borderId="1" xfId="4" applyFont="1" applyFill="1" applyBorder="1" applyAlignment="1">
      <alignment vertical="center" wrapText="1"/>
    </xf>
    <xf numFmtId="0" fontId="13" fillId="14" borderId="1" xfId="6" applyFont="1" applyFill="1" applyBorder="1" applyAlignment="1">
      <alignment horizontal="center" vertical="center" wrapText="1"/>
    </xf>
    <xf numFmtId="0" fontId="8" fillId="9" borderId="5" xfId="4" applyFont="1" applyFill="1" applyBorder="1" applyAlignment="1">
      <alignment horizontal="center" vertical="center" wrapText="1"/>
    </xf>
    <xf numFmtId="168" fontId="8" fillId="10" borderId="1" xfId="4" applyNumberFormat="1" applyFont="1" applyFill="1" applyBorder="1" applyAlignment="1">
      <alignment horizontal="left" vertical="center" wrapText="1"/>
    </xf>
    <xf numFmtId="0" fontId="8" fillId="2" borderId="1" xfId="4" applyFont="1" applyFill="1" applyBorder="1" applyAlignment="1">
      <alignment horizontal="left" vertical="center" wrapText="1"/>
    </xf>
    <xf numFmtId="0" fontId="8" fillId="0" borderId="1" xfId="4" applyFont="1" applyBorder="1" applyAlignment="1">
      <alignment horizontal="center" vertical="center" wrapText="1"/>
    </xf>
    <xf numFmtId="0" fontId="8" fillId="0" borderId="1" xfId="4" applyFont="1" applyBorder="1" applyAlignment="1">
      <alignment horizontal="center" vertical="center"/>
    </xf>
    <xf numFmtId="1" fontId="8" fillId="0" borderId="1" xfId="4" applyNumberFormat="1" applyFont="1" applyBorder="1" applyAlignment="1">
      <alignment horizontal="center" vertical="center"/>
    </xf>
    <xf numFmtId="0" fontId="8" fillId="0" borderId="1" xfId="4" applyFont="1" applyBorder="1" applyAlignment="1">
      <alignment vertical="center" wrapText="1"/>
    </xf>
    <xf numFmtId="0" fontId="8" fillId="0" borderId="1" xfId="4" applyFont="1" applyBorder="1" applyAlignment="1">
      <alignment horizontal="left" vertical="center" wrapText="1"/>
    </xf>
    <xf numFmtId="0" fontId="8" fillId="27" borderId="1" xfId="4" applyFont="1" applyFill="1" applyBorder="1" applyAlignment="1">
      <alignment horizontal="center" vertical="center" wrapText="1"/>
    </xf>
    <xf numFmtId="0" fontId="8" fillId="27" borderId="1" xfId="4" applyFont="1" applyFill="1" applyBorder="1" applyAlignment="1">
      <alignment horizontal="center" vertical="center"/>
    </xf>
    <xf numFmtId="1" fontId="8" fillId="27" borderId="1" xfId="4" applyNumberFormat="1" applyFont="1" applyFill="1" applyBorder="1" applyAlignment="1">
      <alignment horizontal="center" vertical="center" wrapText="1"/>
    </xf>
    <xf numFmtId="0" fontId="8" fillId="28" borderId="1" xfId="4" applyFont="1" applyFill="1" applyBorder="1" applyAlignment="1">
      <alignment horizontal="left" vertical="center" wrapText="1"/>
    </xf>
    <xf numFmtId="0" fontId="8" fillId="9" borderId="1" xfId="0" applyFont="1" applyFill="1" applyBorder="1" applyAlignment="1">
      <alignment horizontal="center" vertical="center" wrapText="1"/>
    </xf>
    <xf numFmtId="0" fontId="8" fillId="9" borderId="1" xfId="4" applyFont="1" applyFill="1" applyBorder="1" applyAlignment="1">
      <alignment horizontal="center" vertical="center"/>
    </xf>
    <xf numFmtId="0" fontId="8" fillId="9" borderId="1" xfId="0" applyFont="1" applyFill="1" applyBorder="1" applyAlignment="1">
      <alignment horizontal="center" vertical="center"/>
    </xf>
    <xf numFmtId="1" fontId="8" fillId="9" borderId="1" xfId="0" applyNumberFormat="1" applyFont="1" applyFill="1" applyBorder="1" applyAlignment="1">
      <alignment horizontal="center" vertical="center"/>
    </xf>
    <xf numFmtId="0" fontId="8" fillId="27" borderId="1" xfId="0" applyFont="1" applyFill="1" applyBorder="1" applyAlignment="1">
      <alignment horizontal="center" vertical="center" wrapText="1"/>
    </xf>
    <xf numFmtId="1" fontId="8" fillId="27" borderId="1" xfId="0" applyNumberFormat="1" applyFont="1" applyFill="1" applyBorder="1" applyAlignment="1">
      <alignment horizontal="center" vertical="center" wrapText="1"/>
    </xf>
    <xf numFmtId="0" fontId="8" fillId="28" borderId="5" xfId="4" applyFont="1" applyFill="1" applyBorder="1" applyAlignment="1">
      <alignment horizontal="center" vertical="center" wrapText="1"/>
    </xf>
    <xf numFmtId="0" fontId="8" fillId="28" borderId="1" xfId="4" applyFont="1" applyFill="1" applyBorder="1" applyAlignment="1">
      <alignment horizontal="center" vertical="center" wrapText="1"/>
    </xf>
    <xf numFmtId="0" fontId="8" fillId="28" borderId="1" xfId="4" applyFont="1" applyFill="1" applyBorder="1" applyAlignment="1">
      <alignment horizontal="center" vertical="center"/>
    </xf>
    <xf numFmtId="1" fontId="8" fillId="28" borderId="1" xfId="4" applyNumberFormat="1" applyFont="1" applyFill="1" applyBorder="1" applyAlignment="1">
      <alignment horizontal="center" vertical="center" wrapText="1"/>
    </xf>
    <xf numFmtId="168" fontId="8" fillId="9" borderId="1" xfId="4" applyNumberFormat="1" applyFont="1" applyFill="1" applyBorder="1" applyAlignment="1">
      <alignment horizontal="left" vertical="center" wrapText="1"/>
    </xf>
    <xf numFmtId="1" fontId="8" fillId="28" borderId="1" xfId="4" applyNumberFormat="1" applyFont="1" applyFill="1" applyBorder="1" applyAlignment="1">
      <alignment horizontal="center" vertical="center"/>
    </xf>
    <xf numFmtId="1" fontId="8" fillId="9" borderId="1" xfId="4" applyNumberFormat="1" applyFont="1" applyFill="1" applyBorder="1" applyAlignment="1">
      <alignment horizontal="center" vertical="center"/>
    </xf>
    <xf numFmtId="0" fontId="8" fillId="28" borderId="1" xfId="4" applyFont="1" applyFill="1" applyBorder="1" applyAlignment="1">
      <alignment horizontal="left" wrapText="1"/>
    </xf>
    <xf numFmtId="168" fontId="11" fillId="0" borderId="0" xfId="4" applyNumberFormat="1" applyFont="1"/>
    <xf numFmtId="170" fontId="8" fillId="13" borderId="1" xfId="4" applyNumberFormat="1" applyFont="1" applyFill="1" applyBorder="1" applyAlignment="1">
      <alignment horizontal="center" vertical="center" wrapText="1"/>
    </xf>
    <xf numFmtId="170" fontId="8" fillId="0" borderId="1" xfId="4" applyNumberFormat="1" applyFont="1" applyBorder="1" applyAlignment="1">
      <alignment horizontal="center" vertical="center" wrapText="1"/>
    </xf>
    <xf numFmtId="170" fontId="8" fillId="28" borderId="1" xfId="4" applyNumberFormat="1" applyFont="1" applyFill="1" applyBorder="1" applyAlignment="1">
      <alignment horizontal="center" vertical="center" wrapText="1"/>
    </xf>
    <xf numFmtId="170" fontId="8" fillId="9" borderId="1" xfId="4" applyNumberFormat="1" applyFont="1" applyFill="1" applyBorder="1" applyAlignment="1">
      <alignment horizontal="center" vertical="center" wrapText="1"/>
    </xf>
    <xf numFmtId="170" fontId="8" fillId="10" borderId="1" xfId="4" applyNumberFormat="1" applyFont="1" applyFill="1" applyBorder="1" applyAlignment="1">
      <alignment horizontal="center" vertical="center" wrapText="1"/>
    </xf>
    <xf numFmtId="170" fontId="13" fillId="2" borderId="5" xfId="4" applyNumberFormat="1" applyFont="1" applyFill="1" applyBorder="1" applyAlignment="1">
      <alignment vertical="center" wrapText="1"/>
    </xf>
    <xf numFmtId="170" fontId="8" fillId="16" borderId="1" xfId="4" applyNumberFormat="1" applyFont="1" applyFill="1" applyBorder="1" applyAlignment="1">
      <alignment horizontal="center" vertical="center" wrapText="1"/>
    </xf>
    <xf numFmtId="170" fontId="11" fillId="0" borderId="0" xfId="4" applyNumberFormat="1" applyFont="1"/>
    <xf numFmtId="170" fontId="8" fillId="0" borderId="1" xfId="5" applyNumberFormat="1" applyFont="1" applyBorder="1" applyAlignment="1" applyProtection="1">
      <alignment horizontal="center" vertical="center" wrapText="1"/>
    </xf>
    <xf numFmtId="170" fontId="8" fillId="14" borderId="1" xfId="4" applyNumberFormat="1" applyFont="1" applyFill="1" applyBorder="1" applyAlignment="1">
      <alignment horizontal="center" vertical="center" wrapText="1"/>
    </xf>
    <xf numFmtId="170" fontId="8" fillId="14" borderId="1" xfId="5" applyNumberFormat="1" applyFont="1" applyFill="1" applyBorder="1" applyAlignment="1" applyProtection="1">
      <alignment horizontal="center" vertical="center" wrapText="1"/>
    </xf>
    <xf numFmtId="170" fontId="8" fillId="12" borderId="5" xfId="4" applyNumberFormat="1" applyFont="1" applyFill="1" applyBorder="1" applyAlignment="1">
      <alignment horizontal="center" vertical="center" wrapText="1"/>
    </xf>
    <xf numFmtId="170" fontId="13" fillId="2" borderId="5" xfId="4" applyNumberFormat="1" applyFont="1" applyFill="1" applyBorder="1" applyAlignment="1">
      <alignment horizontal="left" vertical="center"/>
    </xf>
    <xf numFmtId="170" fontId="13" fillId="2" borderId="5" xfId="4" applyNumberFormat="1" applyFont="1" applyFill="1" applyBorder="1" applyAlignment="1">
      <alignment horizontal="center" vertical="center" wrapText="1"/>
    </xf>
    <xf numFmtId="170" fontId="8" fillId="12" borderId="5" xfId="4" applyNumberFormat="1" applyFont="1" applyFill="1" applyBorder="1" applyAlignment="1">
      <alignment vertical="center" wrapText="1"/>
    </xf>
    <xf numFmtId="170" fontId="13" fillId="2" borderId="5" xfId="4" applyNumberFormat="1" applyFont="1" applyFill="1" applyBorder="1" applyAlignment="1">
      <alignment horizontal="right" vertical="center" wrapText="1"/>
    </xf>
    <xf numFmtId="170" fontId="8" fillId="13" borderId="1" xfId="5" applyNumberFormat="1" applyFont="1" applyFill="1" applyBorder="1" applyAlignment="1" applyProtection="1">
      <alignment horizontal="center" vertical="center" wrapText="1"/>
    </xf>
    <xf numFmtId="170" fontId="8" fillId="27" borderId="1" xfId="4" applyNumberFormat="1" applyFont="1" applyFill="1" applyBorder="1" applyAlignment="1">
      <alignment horizontal="center" vertical="center" wrapText="1"/>
    </xf>
    <xf numFmtId="170" fontId="8" fillId="27" borderId="1" xfId="5" applyNumberFormat="1" applyFont="1" applyFill="1" applyBorder="1" applyAlignment="1" applyProtection="1">
      <alignment horizontal="center" vertical="center" wrapText="1"/>
    </xf>
    <xf numFmtId="170" fontId="8" fillId="9" borderId="1" xfId="0" applyNumberFormat="1" applyFont="1" applyFill="1" applyBorder="1" applyAlignment="1">
      <alignment horizontal="center" vertical="center" wrapText="1"/>
    </xf>
    <xf numFmtId="170" fontId="8" fillId="9" borderId="1" xfId="5" applyNumberFormat="1" applyFont="1" applyFill="1" applyBorder="1" applyAlignment="1" applyProtection="1">
      <alignment horizontal="center" vertical="center" wrapText="1"/>
    </xf>
    <xf numFmtId="170" fontId="8" fillId="27" borderId="1" xfId="0" applyNumberFormat="1" applyFont="1" applyFill="1" applyBorder="1" applyAlignment="1">
      <alignment horizontal="center" vertical="center" wrapText="1"/>
    </xf>
    <xf numFmtId="170" fontId="13" fillId="28" borderId="1" xfId="4" applyNumberFormat="1" applyFont="1" applyFill="1" applyBorder="1" applyAlignment="1">
      <alignment wrapText="1"/>
    </xf>
    <xf numFmtId="170" fontId="13" fillId="27" borderId="1" xfId="4" applyNumberFormat="1" applyFont="1" applyFill="1" applyBorder="1"/>
    <xf numFmtId="170" fontId="8" fillId="29" borderId="1" xfId="4" applyNumberFormat="1" applyFont="1" applyFill="1" applyBorder="1" applyAlignment="1">
      <alignment horizontal="center" vertical="center" wrapText="1"/>
    </xf>
    <xf numFmtId="170" fontId="8" fillId="12" borderId="1" xfId="4" applyNumberFormat="1" applyFont="1" applyFill="1" applyBorder="1" applyAlignment="1">
      <alignment horizontal="center" vertical="center" wrapText="1"/>
    </xf>
    <xf numFmtId="170" fontId="8" fillId="12" borderId="1" xfId="5" applyNumberFormat="1" applyFont="1" applyFill="1" applyBorder="1" applyAlignment="1" applyProtection="1">
      <alignment horizontal="center" vertical="center" wrapText="1"/>
    </xf>
    <xf numFmtId="170" fontId="8" fillId="15" borderId="1" xfId="4" applyNumberFormat="1" applyFont="1" applyFill="1" applyBorder="1" applyAlignment="1">
      <alignment horizontal="center" vertical="center" wrapText="1"/>
    </xf>
    <xf numFmtId="170" fontId="8" fillId="15" borderId="1" xfId="5" applyNumberFormat="1" applyFont="1" applyFill="1" applyBorder="1" applyAlignment="1" applyProtection="1">
      <alignment horizontal="center" vertical="center" wrapText="1"/>
    </xf>
    <xf numFmtId="170" fontId="8" fillId="16" borderId="1" xfId="5" applyNumberFormat="1" applyFont="1" applyFill="1" applyBorder="1" applyAlignment="1" applyProtection="1">
      <alignment horizontal="center" vertical="center" wrapText="1"/>
    </xf>
    <xf numFmtId="168" fontId="13" fillId="0" borderId="0" xfId="4" applyNumberFormat="1" applyFont="1" applyAlignment="1">
      <alignment wrapText="1"/>
    </xf>
    <xf numFmtId="170" fontId="13" fillId="9" borderId="5" xfId="4" applyNumberFormat="1" applyFont="1" applyFill="1" applyBorder="1" applyAlignment="1">
      <alignment horizontal="right" vertical="center"/>
    </xf>
    <xf numFmtId="170" fontId="13" fillId="9" borderId="1" xfId="5" applyNumberFormat="1" applyFont="1" applyFill="1" applyBorder="1" applyAlignment="1" applyProtection="1">
      <alignment horizontal="right" vertical="center" wrapText="1"/>
    </xf>
    <xf numFmtId="170" fontId="13" fillId="10" borderId="1" xfId="5" applyNumberFormat="1" applyFont="1" applyFill="1" applyBorder="1" applyAlignment="1" applyProtection="1">
      <alignment horizontal="right" vertical="center" wrapText="1"/>
    </xf>
    <xf numFmtId="170" fontId="13" fillId="12" borderId="1" xfId="4" applyNumberFormat="1" applyFont="1" applyFill="1" applyBorder="1" applyAlignment="1">
      <alignment horizontal="right" vertical="center" wrapText="1"/>
    </xf>
    <xf numFmtId="170" fontId="13" fillId="11" borderId="5" xfId="4" applyNumberFormat="1" applyFont="1" applyFill="1" applyBorder="1" applyAlignment="1">
      <alignment horizontal="right" vertical="center" wrapText="1"/>
    </xf>
    <xf numFmtId="170" fontId="13" fillId="12" borderId="5" xfId="4" applyNumberFormat="1" applyFont="1" applyFill="1" applyBorder="1" applyAlignment="1">
      <alignment horizontal="right" vertical="center" wrapText="1"/>
    </xf>
    <xf numFmtId="170" fontId="13" fillId="14" borderId="5" xfId="4" applyNumberFormat="1" applyFont="1" applyFill="1" applyBorder="1" applyAlignment="1">
      <alignment horizontal="right" vertical="center" wrapText="1"/>
    </xf>
    <xf numFmtId="165" fontId="4" fillId="2" borderId="1" xfId="1" applyNumberFormat="1" applyFont="1" applyFill="1" applyBorder="1" applyAlignment="1">
      <alignment horizontal="right" wrapText="1"/>
    </xf>
    <xf numFmtId="165" fontId="4" fillId="3" borderId="1" xfId="0" applyNumberFormat="1" applyFont="1" applyFill="1" applyBorder="1" applyAlignment="1">
      <alignment horizontal="right" vertical="center" wrapText="1"/>
    </xf>
    <xf numFmtId="165" fontId="51" fillId="19" borderId="1" xfId="1" applyNumberFormat="1" applyFont="1" applyFill="1" applyBorder="1" applyAlignment="1">
      <alignment horizontal="right"/>
    </xf>
    <xf numFmtId="0" fontId="8" fillId="12" borderId="5" xfId="4" applyFont="1" applyFill="1" applyBorder="1" applyAlignment="1">
      <alignment vertical="center" wrapText="1"/>
    </xf>
    <xf numFmtId="9" fontId="4" fillId="2" borderId="1" xfId="8" applyFont="1" applyFill="1" applyBorder="1" applyAlignment="1">
      <alignment horizontal="center" wrapText="1"/>
    </xf>
    <xf numFmtId="9" fontId="4" fillId="3" borderId="1" xfId="8" applyFont="1" applyFill="1" applyBorder="1" applyAlignment="1">
      <alignment horizontal="center" vertical="center" wrapText="1"/>
    </xf>
    <xf numFmtId="0" fontId="0" fillId="0" borderId="1" xfId="0" applyBorder="1" applyAlignment="1">
      <alignment horizontal="center"/>
    </xf>
    <xf numFmtId="0" fontId="4" fillId="0" borderId="17" xfId="0" applyFont="1" applyBorder="1" applyAlignment="1">
      <alignment horizontal="left" vertical="center" wrapText="1"/>
    </xf>
    <xf numFmtId="0" fontId="4" fillId="0" borderId="18" xfId="0" applyFont="1" applyBorder="1" applyAlignment="1">
      <alignment horizontal="lef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0" xfId="0" applyFont="1" applyAlignment="1">
      <alignment horizontal="left" vertical="center"/>
    </xf>
    <xf numFmtId="0" fontId="4" fillId="0" borderId="21" xfId="0" applyFont="1" applyBorder="1" applyAlignment="1">
      <alignment horizontal="left" vertical="center"/>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4" fillId="0" borderId="16" xfId="0" applyFont="1" applyBorder="1" applyAlignment="1">
      <alignment horizontal="left" vertical="center"/>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0" xfId="0" applyFont="1" applyAlignment="1">
      <alignment horizontal="left" vertical="center" wrapText="1"/>
    </xf>
    <xf numFmtId="0" fontId="4" fillId="0" borderId="21" xfId="0" applyFont="1" applyBorder="1" applyAlignment="1">
      <alignment horizontal="left" vertical="center" wrapText="1"/>
    </xf>
    <xf numFmtId="0" fontId="4" fillId="0" borderId="23" xfId="0" applyFont="1" applyBorder="1" applyAlignment="1">
      <alignment horizontal="left" vertical="center" wrapText="1"/>
    </xf>
    <xf numFmtId="0" fontId="4" fillId="0" borderId="16"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4" fillId="0" borderId="28" xfId="0" applyFont="1" applyBorder="1" applyAlignment="1">
      <alignment horizontal="left" vertical="center" wrapText="1"/>
    </xf>
    <xf numFmtId="0" fontId="4" fillId="0" borderId="1" xfId="0" applyFont="1" applyBorder="1" applyAlignment="1">
      <alignment horizontal="left" vertical="center" wrapText="1"/>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0" fillId="0" borderId="27" xfId="0" applyBorder="1" applyAlignment="1">
      <alignment horizontal="left" vertical="center" wrapText="1"/>
    </xf>
    <xf numFmtId="0" fontId="0" fillId="0" borderId="25" xfId="0" applyBorder="1" applyAlignment="1">
      <alignment horizontal="left" vertical="center"/>
    </xf>
    <xf numFmtId="0" fontId="0" fillId="0" borderId="26" xfId="0" applyBorder="1" applyAlignment="1">
      <alignment horizontal="left" vertical="center"/>
    </xf>
    <xf numFmtId="0" fontId="0" fillId="0" borderId="4" xfId="0" applyBorder="1" applyAlignment="1">
      <alignment horizontal="left" vertical="center"/>
    </xf>
    <xf numFmtId="0" fontId="0" fillId="0" borderId="1" xfId="0" applyBorder="1" applyAlignment="1">
      <alignment horizontal="left" vertical="center"/>
    </xf>
    <xf numFmtId="0" fontId="0" fillId="0" borderId="29" xfId="0" applyBorder="1" applyAlignment="1">
      <alignment horizontal="left" vertical="center"/>
    </xf>
    <xf numFmtId="0" fontId="0" fillId="0" borderId="33"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5" fillId="19" borderId="1" xfId="0" applyFont="1" applyFill="1" applyBorder="1" applyAlignment="1">
      <alignment horizontal="right"/>
    </xf>
    <xf numFmtId="0" fontId="5" fillId="20" borderId="1" xfId="0" applyFont="1" applyFill="1" applyBorder="1" applyAlignment="1">
      <alignment horizontal="center" vertical="center" wrapText="1"/>
    </xf>
    <xf numFmtId="0" fontId="5" fillId="19" borderId="1" xfId="0" applyFont="1" applyFill="1" applyBorder="1" applyAlignment="1">
      <alignment horizontal="center" vertical="center"/>
    </xf>
    <xf numFmtId="0" fontId="5" fillId="19" borderId="1" xfId="0" applyFont="1" applyFill="1" applyBorder="1" applyAlignment="1">
      <alignment horizontal="center"/>
    </xf>
    <xf numFmtId="0" fontId="7" fillId="0" borderId="1" xfId="0" applyFont="1" applyBorder="1" applyAlignment="1">
      <alignment horizontal="left"/>
    </xf>
    <xf numFmtId="0" fontId="16" fillId="0" borderId="0" xfId="0" applyFont="1" applyAlignment="1">
      <alignment horizontal="center"/>
    </xf>
    <xf numFmtId="0" fontId="37" fillId="0" borderId="0" xfId="0" applyFont="1" applyAlignment="1">
      <alignment horizontal="center"/>
    </xf>
    <xf numFmtId="0" fontId="7" fillId="0" borderId="0" xfId="0" applyFont="1" applyAlignment="1">
      <alignment horizontal="center"/>
    </xf>
    <xf numFmtId="0" fontId="7" fillId="0" borderId="0" xfId="0" applyFont="1" applyAlignment="1">
      <alignment horizontal="center" wrapText="1"/>
    </xf>
    <xf numFmtId="0" fontId="7" fillId="0" borderId="15" xfId="0" applyFont="1" applyBorder="1" applyAlignment="1">
      <alignment horizontal="center"/>
    </xf>
    <xf numFmtId="0" fontId="38" fillId="0" borderId="10" xfId="0" applyFont="1" applyBorder="1" applyAlignment="1">
      <alignment horizontal="center"/>
    </xf>
    <xf numFmtId="0" fontId="5" fillId="19" borderId="1" xfId="0" applyFont="1" applyFill="1" applyBorder="1" applyAlignment="1">
      <alignment horizontal="right" vertical="center" wrapText="1"/>
    </xf>
    <xf numFmtId="0" fontId="5" fillId="20" borderId="5" xfId="0" applyFont="1" applyFill="1" applyBorder="1" applyAlignment="1">
      <alignment horizontal="center" vertical="center" wrapText="1"/>
    </xf>
    <xf numFmtId="0" fontId="5" fillId="20" borderId="6" xfId="0" applyFont="1" applyFill="1" applyBorder="1" applyAlignment="1">
      <alignment horizontal="center" vertical="center" wrapText="1"/>
    </xf>
    <xf numFmtId="0" fontId="36" fillId="0" borderId="0" xfId="0" applyFont="1" applyAlignment="1">
      <alignment horizontal="center"/>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7" xfId="0" applyFont="1" applyFill="1" applyBorder="1" applyAlignment="1">
      <alignment horizontal="center" vertical="center"/>
    </xf>
    <xf numFmtId="9" fontId="7" fillId="2" borderId="5" xfId="0" applyNumberFormat="1" applyFont="1" applyFill="1" applyBorder="1" applyAlignment="1">
      <alignment horizontal="center" vertical="center"/>
    </xf>
    <xf numFmtId="9" fontId="7" fillId="2" borderId="7" xfId="0" applyNumberFormat="1" applyFont="1" applyFill="1" applyBorder="1" applyAlignment="1">
      <alignment horizontal="center" vertical="center"/>
    </xf>
    <xf numFmtId="165" fontId="7" fillId="2" borderId="5" xfId="0" applyNumberFormat="1" applyFont="1" applyFill="1" applyBorder="1" applyAlignment="1">
      <alignment horizontal="center" vertical="center"/>
    </xf>
    <xf numFmtId="165" fontId="7" fillId="2" borderId="7" xfId="0" applyNumberFormat="1" applyFont="1" applyFill="1" applyBorder="1" applyAlignment="1">
      <alignment horizontal="center" vertical="center"/>
    </xf>
    <xf numFmtId="0" fontId="7" fillId="3" borderId="5"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6" xfId="0" applyFont="1" applyFill="1" applyBorder="1" applyAlignment="1">
      <alignment horizontal="center" vertical="center"/>
    </xf>
    <xf numFmtId="9" fontId="7" fillId="3" borderId="5" xfId="0" applyNumberFormat="1" applyFont="1" applyFill="1" applyBorder="1" applyAlignment="1">
      <alignment horizontal="center" vertical="center"/>
    </xf>
    <xf numFmtId="9" fontId="7" fillId="3" borderId="7" xfId="0" applyNumberFormat="1" applyFont="1" applyFill="1" applyBorder="1" applyAlignment="1">
      <alignment horizontal="center" vertical="center"/>
    </xf>
    <xf numFmtId="9" fontId="7" fillId="3" borderId="6" xfId="0" applyNumberFormat="1" applyFont="1" applyFill="1" applyBorder="1" applyAlignment="1">
      <alignment horizontal="center" vertical="center"/>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7"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2" borderId="6" xfId="0" applyFont="1" applyFill="1" applyBorder="1" applyAlignment="1">
      <alignment horizontal="center" vertical="center"/>
    </xf>
    <xf numFmtId="9" fontId="7" fillId="2" borderId="6" xfId="0" applyNumberFormat="1" applyFont="1" applyFill="1" applyBorder="1" applyAlignment="1">
      <alignment horizontal="center" vertical="center"/>
    </xf>
    <xf numFmtId="0" fontId="8" fillId="3" borderId="5"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3" borderId="5"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19" borderId="1" xfId="0" applyFont="1" applyFill="1" applyBorder="1" applyAlignment="1">
      <alignment horizontal="center"/>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 fillId="0" borderId="0" xfId="0" applyFont="1" applyAlignment="1">
      <alignment horizontal="center" wrapText="1"/>
    </xf>
    <xf numFmtId="0" fontId="1" fillId="0" borderId="0" xfId="0" applyFont="1" applyAlignment="1">
      <alignment horizontal="center" vertical="top" wrapText="1"/>
    </xf>
    <xf numFmtId="0" fontId="1" fillId="0" borderId="0" xfId="0" applyFont="1" applyAlignment="1">
      <alignment horizontal="center" vertical="top"/>
    </xf>
    <xf numFmtId="0" fontId="1" fillId="0" borderId="15" xfId="0" applyFont="1" applyBorder="1" applyAlignment="1">
      <alignment horizontal="center"/>
    </xf>
    <xf numFmtId="0" fontId="65" fillId="0" borderId="10" xfId="0" applyFont="1" applyBorder="1" applyAlignment="1">
      <alignment horizontal="center"/>
    </xf>
    <xf numFmtId="0" fontId="5" fillId="19" borderId="2" xfId="0" applyFont="1" applyFill="1" applyBorder="1" applyAlignment="1">
      <alignment horizontal="center"/>
    </xf>
    <xf numFmtId="0" fontId="5" fillId="19" borderId="3" xfId="0" applyFont="1" applyFill="1" applyBorder="1" applyAlignment="1">
      <alignment horizontal="center"/>
    </xf>
    <xf numFmtId="0" fontId="5" fillId="19" borderId="4" xfId="0" applyFont="1" applyFill="1" applyBorder="1" applyAlignment="1">
      <alignment horizontal="center"/>
    </xf>
    <xf numFmtId="0" fontId="7" fillId="2" borderId="5"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6" xfId="0" applyFont="1" applyFill="1" applyBorder="1" applyAlignment="1">
      <alignment horizontal="left" vertical="center" wrapText="1"/>
    </xf>
    <xf numFmtId="0" fontId="36" fillId="0" borderId="0" xfId="9" applyFont="1" applyAlignment="1">
      <alignment horizontal="center"/>
    </xf>
    <xf numFmtId="0" fontId="7" fillId="0" borderId="1" xfId="9" applyFont="1" applyBorder="1"/>
    <xf numFmtId="0" fontId="8" fillId="2" borderId="5" xfId="9" applyFont="1" applyFill="1" applyBorder="1" applyAlignment="1">
      <alignment horizontal="left" vertical="center" wrapText="1"/>
    </xf>
    <xf numFmtId="0" fontId="8" fillId="2" borderId="7" xfId="9" applyFont="1" applyFill="1" applyBorder="1" applyAlignment="1">
      <alignment horizontal="left" vertical="center" wrapText="1"/>
    </xf>
    <xf numFmtId="0" fontId="8" fillId="2" borderId="6" xfId="9" applyFont="1" applyFill="1" applyBorder="1" applyAlignment="1">
      <alignment horizontal="left" vertical="center" wrapText="1"/>
    </xf>
    <xf numFmtId="0" fontId="5" fillId="20" borderId="1" xfId="9" applyFont="1" applyFill="1" applyBorder="1" applyAlignment="1">
      <alignment horizontal="center" vertical="center" wrapText="1"/>
    </xf>
    <xf numFmtId="0" fontId="5" fillId="20" borderId="5" xfId="9" applyFont="1" applyFill="1" applyBorder="1" applyAlignment="1">
      <alignment horizontal="center" vertical="center" wrapText="1"/>
    </xf>
    <xf numFmtId="0" fontId="5" fillId="20" borderId="6" xfId="9" applyFont="1" applyFill="1" applyBorder="1" applyAlignment="1">
      <alignment horizontal="center" vertical="center" wrapText="1"/>
    </xf>
    <xf numFmtId="0" fontId="7" fillId="0" borderId="5" xfId="9" applyFont="1" applyBorder="1" applyAlignment="1">
      <alignment horizontal="left" vertical="center" wrapText="1"/>
    </xf>
    <xf numFmtId="0" fontId="7" fillId="0" borderId="6" xfId="9" applyFont="1" applyBorder="1" applyAlignment="1">
      <alignment horizontal="left" vertical="center" wrapText="1"/>
    </xf>
    <xf numFmtId="0" fontId="5" fillId="19" borderId="1" xfId="9" applyFont="1" applyFill="1" applyBorder="1" applyAlignment="1">
      <alignment horizontal="center" vertical="center"/>
    </xf>
    <xf numFmtId="165" fontId="7" fillId="2" borderId="5" xfId="9" applyNumberFormat="1" applyFont="1" applyFill="1" applyBorder="1" applyAlignment="1">
      <alignment horizontal="center" vertical="center" wrapText="1"/>
    </xf>
    <xf numFmtId="165" fontId="7" fillId="2" borderId="7" xfId="9" applyNumberFormat="1" applyFont="1" applyFill="1" applyBorder="1" applyAlignment="1">
      <alignment horizontal="center" vertical="center" wrapText="1"/>
    </xf>
    <xf numFmtId="165" fontId="7" fillId="2" borderId="6" xfId="9" applyNumberFormat="1" applyFont="1" applyFill="1" applyBorder="1" applyAlignment="1">
      <alignment horizontal="center" vertical="center" wrapText="1"/>
    </xf>
    <xf numFmtId="0" fontId="5" fillId="19" borderId="1" xfId="9" applyFont="1" applyFill="1" applyBorder="1" applyAlignment="1">
      <alignment horizontal="center"/>
    </xf>
    <xf numFmtId="0" fontId="44" fillId="0" borderId="0" xfId="9" applyFont="1" applyAlignment="1">
      <alignment horizontal="center"/>
    </xf>
    <xf numFmtId="0" fontId="7" fillId="0" borderId="1" xfId="9" applyFont="1" applyBorder="1" applyAlignment="1">
      <alignment horizontal="left"/>
    </xf>
    <xf numFmtId="0" fontId="8" fillId="3" borderId="5" xfId="9" applyFont="1" applyFill="1" applyBorder="1" applyAlignment="1">
      <alignment horizontal="center" vertical="center" wrapText="1"/>
    </xf>
    <xf numFmtId="0" fontId="8" fillId="3" borderId="7" xfId="9" applyFont="1" applyFill="1" applyBorder="1" applyAlignment="1">
      <alignment horizontal="center" vertical="center" wrapText="1"/>
    </xf>
    <xf numFmtId="0" fontId="8" fillId="3" borderId="6" xfId="9" applyFont="1" applyFill="1" applyBorder="1" applyAlignment="1">
      <alignment horizontal="center" vertical="center" wrapText="1"/>
    </xf>
    <xf numFmtId="0" fontId="8" fillId="3" borderId="1" xfId="9" applyFont="1" applyFill="1" applyBorder="1" applyAlignment="1">
      <alignment horizontal="left" vertical="center" wrapText="1"/>
    </xf>
    <xf numFmtId="0" fontId="8" fillId="2" borderId="5" xfId="9" applyFont="1" applyFill="1" applyBorder="1" applyAlignment="1">
      <alignment horizontal="center" vertical="center" wrapText="1"/>
    </xf>
    <xf numFmtId="0" fontId="8" fillId="2" borderId="6" xfId="9" applyFont="1" applyFill="1" applyBorder="1" applyAlignment="1">
      <alignment horizontal="center" vertical="center" wrapText="1"/>
    </xf>
    <xf numFmtId="0" fontId="1" fillId="0" borderId="0" xfId="0" applyFont="1" applyAlignment="1">
      <alignment horizontal="center"/>
    </xf>
    <xf numFmtId="0" fontId="65" fillId="0" borderId="0" xfId="0" applyFont="1" applyAlignment="1">
      <alignment horizontal="center"/>
    </xf>
    <xf numFmtId="0" fontId="13" fillId="0" borderId="1" xfId="0" applyFont="1" applyBorder="1" applyAlignment="1">
      <alignment horizontal="center" vertical="center" wrapText="1"/>
    </xf>
    <xf numFmtId="0" fontId="13" fillId="4" borderId="7" xfId="0" applyFont="1" applyFill="1" applyBorder="1" applyAlignment="1">
      <alignment horizontal="left" vertical="center" wrapText="1"/>
    </xf>
    <xf numFmtId="8" fontId="13" fillId="4" borderId="5" xfId="0" applyNumberFormat="1" applyFont="1" applyFill="1" applyBorder="1" applyAlignment="1">
      <alignment horizontal="right" vertical="center"/>
    </xf>
    <xf numFmtId="8" fontId="13" fillId="4" borderId="7" xfId="0" applyNumberFormat="1" applyFont="1" applyFill="1" applyBorder="1" applyAlignment="1">
      <alignment horizontal="right" vertical="center"/>
    </xf>
    <xf numFmtId="8" fontId="13" fillId="4" borderId="6" xfId="0" applyNumberFormat="1" applyFont="1" applyFill="1" applyBorder="1" applyAlignment="1">
      <alignment horizontal="right" vertical="center"/>
    </xf>
    <xf numFmtId="0" fontId="13" fillId="4" borderId="5"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9" fontId="7" fillId="2" borderId="1" xfId="0" applyNumberFormat="1" applyFont="1" applyFill="1" applyBorder="1" applyAlignment="1">
      <alignment horizontal="center" vertical="center" wrapText="1"/>
    </xf>
    <xf numFmtId="0" fontId="7" fillId="0" borderId="1" xfId="0" applyFont="1" applyBorder="1" applyAlignment="1">
      <alignment horizontal="left" vertical="center"/>
    </xf>
    <xf numFmtId="4" fontId="1" fillId="0" borderId="1" xfId="0" applyNumberFormat="1" applyFont="1" applyBorder="1" applyAlignment="1">
      <alignment horizontal="right" vertical="center"/>
    </xf>
    <xf numFmtId="165" fontId="7" fillId="2" borderId="5" xfId="0" applyNumberFormat="1" applyFont="1" applyFill="1" applyBorder="1" applyAlignment="1">
      <alignment horizontal="right" vertical="center"/>
    </xf>
    <xf numFmtId="165" fontId="7" fillId="2" borderId="7" xfId="0" applyNumberFormat="1" applyFont="1" applyFill="1" applyBorder="1" applyAlignment="1">
      <alignment horizontal="right" vertical="center"/>
    </xf>
    <xf numFmtId="165" fontId="7" fillId="2" borderId="6" xfId="0" applyNumberFormat="1" applyFont="1" applyFill="1" applyBorder="1" applyAlignment="1">
      <alignment horizontal="right" vertical="center"/>
    </xf>
    <xf numFmtId="0" fontId="22" fillId="21" borderId="5" xfId="0" applyFont="1" applyFill="1" applyBorder="1" applyAlignment="1">
      <alignment horizontal="center" vertical="center"/>
    </xf>
    <xf numFmtId="0" fontId="22" fillId="21" borderId="6" xfId="0" applyFont="1" applyFill="1" applyBorder="1" applyAlignment="1">
      <alignment horizontal="center" vertical="center"/>
    </xf>
    <xf numFmtId="0" fontId="22" fillId="22" borderId="2" xfId="0" applyFont="1" applyFill="1" applyBorder="1" applyAlignment="1">
      <alignment horizontal="center" vertical="center"/>
    </xf>
    <xf numFmtId="0" fontId="22" fillId="22" borderId="4" xfId="0" applyFont="1" applyFill="1" applyBorder="1" applyAlignment="1">
      <alignment horizontal="center" vertical="center"/>
    </xf>
    <xf numFmtId="0" fontId="22" fillId="22" borderId="2" xfId="0" applyFont="1" applyFill="1" applyBorder="1" applyAlignment="1">
      <alignment horizontal="center"/>
    </xf>
    <xf numFmtId="0" fontId="22" fillId="22" borderId="3" xfId="0" applyFont="1" applyFill="1" applyBorder="1" applyAlignment="1">
      <alignment horizontal="center"/>
    </xf>
    <xf numFmtId="0" fontId="22" fillId="22" borderId="4" xfId="0" applyFont="1" applyFill="1" applyBorder="1" applyAlignment="1">
      <alignment horizontal="center"/>
    </xf>
    <xf numFmtId="0" fontId="22" fillId="21" borderId="5" xfId="0" applyFont="1" applyFill="1" applyBorder="1" applyAlignment="1">
      <alignment horizontal="center" vertical="center" wrapText="1"/>
    </xf>
    <xf numFmtId="0" fontId="22" fillId="21" borderId="6" xfId="0" applyFont="1" applyFill="1" applyBorder="1" applyAlignment="1">
      <alignment horizontal="center" vertical="center" wrapText="1"/>
    </xf>
    <xf numFmtId="0" fontId="13" fillId="0" borderId="15" xfId="0" applyFont="1" applyBorder="1"/>
    <xf numFmtId="0" fontId="11" fillId="0" borderId="0" xfId="0" applyFont="1"/>
    <xf numFmtId="0" fontId="45" fillId="0" borderId="0" xfId="0" applyFont="1" applyAlignment="1">
      <alignment horizontal="center"/>
    </xf>
    <xf numFmtId="0" fontId="13" fillId="0" borderId="1" xfId="0" applyFont="1" applyBorder="1" applyAlignment="1">
      <alignment horizontal="left"/>
    </xf>
    <xf numFmtId="0" fontId="5" fillId="19" borderId="1" xfId="0" applyFont="1" applyFill="1" applyBorder="1" applyAlignment="1">
      <alignment horizontal="right"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1" xfId="0" applyFont="1" applyFill="1" applyBorder="1" applyAlignment="1">
      <alignment horizontal="left" vertical="center"/>
    </xf>
    <xf numFmtId="0" fontId="7" fillId="0" borderId="2" xfId="0" applyFont="1" applyBorder="1" applyAlignment="1">
      <alignment horizontal="left"/>
    </xf>
    <xf numFmtId="0" fontId="7" fillId="0" borderId="3" xfId="0" applyFont="1" applyBorder="1" applyAlignment="1">
      <alignment horizontal="left"/>
    </xf>
    <xf numFmtId="0" fontId="7" fillId="0" borderId="4" xfId="0" applyFont="1" applyBorder="1" applyAlignment="1">
      <alignment horizontal="left"/>
    </xf>
    <xf numFmtId="0" fontId="13" fillId="18" borderId="1" xfId="0" applyFont="1" applyFill="1" applyBorder="1" applyAlignment="1">
      <alignment horizontal="left" vertical="center" wrapText="1"/>
    </xf>
    <xf numFmtId="44" fontId="7" fillId="2"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44" fontId="7" fillId="0" borderId="1" xfId="0" applyNumberFormat="1" applyFont="1" applyBorder="1" applyAlignment="1">
      <alignment horizontal="center" vertical="center"/>
    </xf>
    <xf numFmtId="0" fontId="36" fillId="0" borderId="0" xfId="0" applyFont="1" applyAlignment="1">
      <alignment horizontal="center" vertical="center"/>
    </xf>
    <xf numFmtId="0" fontId="7" fillId="17" borderId="5" xfId="0" applyFont="1" applyFill="1" applyBorder="1" applyAlignment="1">
      <alignment horizontal="left" vertical="center" wrapText="1"/>
    </xf>
    <xf numFmtId="0" fontId="7" fillId="17" borderId="7" xfId="0" applyFont="1" applyFill="1" applyBorder="1" applyAlignment="1">
      <alignment horizontal="left" vertical="center" wrapText="1"/>
    </xf>
    <xf numFmtId="0" fontId="7" fillId="17" borderId="6" xfId="0" applyFont="1" applyFill="1" applyBorder="1" applyAlignment="1">
      <alignment horizontal="left" vertical="center" wrapText="1"/>
    </xf>
    <xf numFmtId="0" fontId="7" fillId="26" borderId="5" xfId="0" applyFont="1" applyFill="1" applyBorder="1" applyAlignment="1">
      <alignment horizontal="left" vertical="center" wrapText="1"/>
    </xf>
    <xf numFmtId="0" fontId="7" fillId="26" borderId="7" xfId="0" applyFont="1" applyFill="1" applyBorder="1" applyAlignment="1">
      <alignment horizontal="left" vertical="center" wrapText="1"/>
    </xf>
    <xf numFmtId="0" fontId="7" fillId="26" borderId="6" xfId="0" applyFont="1" applyFill="1" applyBorder="1" applyAlignment="1">
      <alignment horizontal="left" vertical="center" wrapText="1"/>
    </xf>
    <xf numFmtId="0" fontId="38" fillId="0" borderId="0" xfId="0" applyFont="1" applyAlignment="1">
      <alignment horizontal="center"/>
    </xf>
    <xf numFmtId="0" fontId="8" fillId="3" borderId="5" xfId="0" applyFont="1" applyFill="1" applyBorder="1" applyAlignment="1">
      <alignment horizontal="left" vertical="center" wrapText="1"/>
    </xf>
    <xf numFmtId="0" fontId="8" fillId="3" borderId="6" xfId="0" applyFont="1" applyFill="1" applyBorder="1" applyAlignment="1">
      <alignment horizontal="left" vertical="center" wrapText="1"/>
    </xf>
    <xf numFmtId="165" fontId="8"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2" borderId="5"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9" fontId="8" fillId="2" borderId="1" xfId="0" applyNumberFormat="1" applyFont="1" applyFill="1" applyBorder="1" applyAlignment="1">
      <alignment horizontal="center" vertical="center" wrapText="1"/>
    </xf>
    <xf numFmtId="165" fontId="8" fillId="2" borderId="1" xfId="0" applyNumberFormat="1" applyFont="1" applyFill="1" applyBorder="1" applyAlignment="1">
      <alignment horizontal="center" vertical="center" wrapText="1"/>
    </xf>
    <xf numFmtId="0" fontId="8" fillId="0" borderId="1" xfId="0" applyFont="1" applyBorder="1" applyAlignment="1">
      <alignment horizontal="left" vertical="center" wrapText="1"/>
    </xf>
    <xf numFmtId="0" fontId="7" fillId="0" borderId="15" xfId="0" applyFont="1" applyBorder="1" applyAlignment="1">
      <alignment horizontal="center" wrapText="1"/>
    </xf>
    <xf numFmtId="0" fontId="41" fillId="2" borderId="1" xfId="0" applyFont="1" applyFill="1" applyBorder="1" applyAlignment="1">
      <alignment horizontal="center" vertical="center" wrapText="1"/>
    </xf>
    <xf numFmtId="0" fontId="5" fillId="19" borderId="2" xfId="0" applyFont="1" applyFill="1" applyBorder="1" applyAlignment="1">
      <alignment horizontal="center" vertical="center" wrapText="1"/>
    </xf>
    <xf numFmtId="0" fontId="5" fillId="19" borderId="3" xfId="0" applyFont="1" applyFill="1" applyBorder="1" applyAlignment="1">
      <alignment horizontal="center" vertical="center" wrapText="1"/>
    </xf>
    <xf numFmtId="0" fontId="5" fillId="19" borderId="4" xfId="0" applyFont="1" applyFill="1" applyBorder="1" applyAlignment="1">
      <alignment horizontal="center" vertical="center" wrapText="1"/>
    </xf>
    <xf numFmtId="0" fontId="8" fillId="2" borderId="6" xfId="0" applyFont="1" applyFill="1" applyBorder="1" applyAlignment="1">
      <alignment horizontal="left" vertical="center" wrapText="1"/>
    </xf>
    <xf numFmtId="4" fontId="8" fillId="2" borderId="5" xfId="1" applyNumberFormat="1" applyFont="1" applyFill="1" applyBorder="1" applyAlignment="1">
      <alignment horizontal="center" vertical="center" wrapText="1"/>
    </xf>
    <xf numFmtId="4" fontId="8" fillId="2" borderId="6" xfId="1" applyNumberFormat="1" applyFont="1" applyFill="1" applyBorder="1" applyAlignment="1">
      <alignment horizontal="center" vertical="center" wrapText="1"/>
    </xf>
    <xf numFmtId="0" fontId="8" fillId="3" borderId="1" xfId="0" applyFont="1" applyFill="1" applyBorder="1" applyAlignment="1">
      <alignment horizontal="left" vertical="center" wrapText="1"/>
    </xf>
    <xf numFmtId="4" fontId="8" fillId="3" borderId="5" xfId="0" applyNumberFormat="1" applyFont="1" applyFill="1" applyBorder="1" applyAlignment="1">
      <alignment horizontal="center" vertical="center"/>
    </xf>
    <xf numFmtId="4" fontId="8" fillId="3" borderId="7" xfId="0" applyNumberFormat="1" applyFont="1" applyFill="1" applyBorder="1" applyAlignment="1">
      <alignment horizontal="center" vertical="center"/>
    </xf>
    <xf numFmtId="4" fontId="8" fillId="3" borderId="6" xfId="0" applyNumberFormat="1" applyFont="1" applyFill="1" applyBorder="1" applyAlignment="1">
      <alignment horizontal="center" vertical="center"/>
    </xf>
    <xf numFmtId="0" fontId="8" fillId="3" borderId="1" xfId="0" applyFont="1" applyFill="1" applyBorder="1" applyAlignment="1">
      <alignment horizontal="left" vertical="center"/>
    </xf>
    <xf numFmtId="4" fontId="8" fillId="2" borderId="5" xfId="0" applyNumberFormat="1" applyFont="1" applyFill="1" applyBorder="1" applyAlignment="1">
      <alignment horizontal="center" vertical="center" wrapText="1"/>
    </xf>
    <xf numFmtId="4" fontId="8" fillId="2" borderId="7" xfId="0" applyNumberFormat="1" applyFont="1" applyFill="1" applyBorder="1" applyAlignment="1">
      <alignment horizontal="center" vertical="center" wrapText="1"/>
    </xf>
    <xf numFmtId="4" fontId="8" fillId="2" borderId="6" xfId="0" applyNumberFormat="1" applyFont="1" applyFill="1" applyBorder="1" applyAlignment="1">
      <alignment horizontal="center" vertical="center" wrapText="1"/>
    </xf>
    <xf numFmtId="0" fontId="5" fillId="20" borderId="1" xfId="0" applyFont="1" applyFill="1" applyBorder="1" applyAlignment="1">
      <alignment horizontal="left" vertical="center" wrapText="1"/>
    </xf>
    <xf numFmtId="0" fontId="4" fillId="0" borderId="15" xfId="0" applyFont="1" applyBorder="1" applyAlignment="1">
      <alignment horizontal="center"/>
    </xf>
    <xf numFmtId="0" fontId="38" fillId="0" borderId="10" xfId="0" applyFont="1" applyBorder="1" applyAlignment="1">
      <alignment horizontal="center" vertical="center"/>
    </xf>
    <xf numFmtId="0" fontId="5" fillId="19" borderId="2" xfId="0" applyFont="1" applyFill="1" applyBorder="1" applyAlignment="1">
      <alignment horizontal="center" vertical="center"/>
    </xf>
    <xf numFmtId="0" fontId="5" fillId="19" borderId="3" xfId="0" applyFont="1" applyFill="1" applyBorder="1" applyAlignment="1">
      <alignment horizontal="center" vertical="center"/>
    </xf>
    <xf numFmtId="0" fontId="5" fillId="19" borderId="4" xfId="0" applyFont="1" applyFill="1" applyBorder="1" applyAlignment="1">
      <alignment horizontal="center" vertical="center"/>
    </xf>
    <xf numFmtId="0" fontId="51" fillId="20" borderId="5" xfId="0" applyFont="1" applyFill="1" applyBorder="1" applyAlignment="1">
      <alignment horizontal="center" vertical="center" wrapText="1"/>
    </xf>
    <xf numFmtId="0" fontId="51" fillId="20" borderId="6" xfId="0" applyFont="1" applyFill="1" applyBorder="1" applyAlignment="1">
      <alignment horizontal="center" vertical="center" wrapText="1"/>
    </xf>
    <xf numFmtId="0" fontId="51" fillId="19" borderId="1" xfId="0" applyFont="1" applyFill="1" applyBorder="1" applyAlignment="1">
      <alignment horizontal="right" vertical="center" wrapText="1"/>
    </xf>
    <xf numFmtId="0" fontId="51" fillId="19" borderId="2" xfId="0" applyFont="1" applyFill="1" applyBorder="1" applyAlignment="1">
      <alignment horizontal="center"/>
    </xf>
    <xf numFmtId="0" fontId="51" fillId="19" borderId="3" xfId="0" applyFont="1" applyFill="1" applyBorder="1" applyAlignment="1">
      <alignment horizontal="center"/>
    </xf>
    <xf numFmtId="0" fontId="51" fillId="19" borderId="4" xfId="0" applyFont="1" applyFill="1" applyBorder="1" applyAlignment="1">
      <alignment horizontal="center"/>
    </xf>
    <xf numFmtId="0" fontId="4" fillId="0" borderId="1" xfId="0" applyFont="1" applyBorder="1" applyAlignment="1">
      <alignment horizontal="left"/>
    </xf>
    <xf numFmtId="0" fontId="68" fillId="19" borderId="1" xfId="0" applyFont="1" applyFill="1" applyBorder="1" applyAlignment="1">
      <alignment horizontal="right"/>
    </xf>
    <xf numFmtId="0" fontId="69" fillId="0" borderId="15" xfId="0" applyFont="1" applyBorder="1" applyAlignment="1">
      <alignment horizontal="center"/>
    </xf>
    <xf numFmtId="0" fontId="39" fillId="0" borderId="10" xfId="0" applyFont="1" applyBorder="1" applyAlignment="1">
      <alignment horizontal="center"/>
    </xf>
    <xf numFmtId="0" fontId="69" fillId="0" borderId="0" xfId="0" applyFont="1" applyAlignment="1">
      <alignment horizontal="center"/>
    </xf>
    <xf numFmtId="0" fontId="69" fillId="0" borderId="15" xfId="0" applyFont="1" applyBorder="1" applyAlignment="1">
      <alignment horizontal="center" wrapText="1"/>
    </xf>
    <xf numFmtId="0" fontId="67" fillId="3" borderId="5" xfId="0" applyFont="1" applyFill="1" applyBorder="1" applyAlignment="1">
      <alignment horizontal="left" vertical="center" wrapText="1"/>
    </xf>
    <xf numFmtId="0" fontId="67" fillId="3" borderId="6" xfId="0" applyFont="1" applyFill="1" applyBorder="1" applyAlignment="1">
      <alignment horizontal="left" vertical="center" wrapText="1"/>
    </xf>
    <xf numFmtId="0" fontId="68" fillId="19" borderId="1" xfId="0" applyFont="1" applyFill="1" applyBorder="1" applyAlignment="1">
      <alignment horizontal="center"/>
    </xf>
    <xf numFmtId="0" fontId="68" fillId="20" borderId="1" xfId="0" applyFont="1" applyFill="1" applyBorder="1" applyAlignment="1">
      <alignment horizontal="center" vertical="center" wrapText="1"/>
    </xf>
    <xf numFmtId="0" fontId="67" fillId="2" borderId="5" xfId="0" applyFont="1" applyFill="1" applyBorder="1" applyAlignment="1">
      <alignment horizontal="left" vertical="center" wrapText="1"/>
    </xf>
    <xf numFmtId="0" fontId="67" fillId="2" borderId="7" xfId="0" applyFont="1" applyFill="1" applyBorder="1" applyAlignment="1">
      <alignment horizontal="left" vertical="center" wrapText="1"/>
    </xf>
    <xf numFmtId="0" fontId="67" fillId="2" borderId="6" xfId="0" applyFont="1" applyFill="1" applyBorder="1" applyAlignment="1">
      <alignment horizontal="left" vertical="center" wrapText="1"/>
    </xf>
    <xf numFmtId="0" fontId="67" fillId="2" borderId="5" xfId="0" applyFont="1" applyFill="1" applyBorder="1" applyAlignment="1">
      <alignment horizontal="center" vertical="center"/>
    </xf>
    <xf numFmtId="0" fontId="67" fillId="2" borderId="7" xfId="0" applyFont="1" applyFill="1" applyBorder="1" applyAlignment="1">
      <alignment horizontal="center" vertical="center"/>
    </xf>
    <xf numFmtId="0" fontId="67" fillId="2" borderId="6" xfId="0" applyFont="1" applyFill="1" applyBorder="1" applyAlignment="1">
      <alignment horizontal="center" vertical="center"/>
    </xf>
    <xf numFmtId="0" fontId="67" fillId="2" borderId="5" xfId="0" applyFont="1" applyFill="1" applyBorder="1" applyAlignment="1">
      <alignment horizontal="center" vertical="center" wrapText="1"/>
    </xf>
    <xf numFmtId="0" fontId="67" fillId="2" borderId="7" xfId="0" applyFont="1" applyFill="1" applyBorder="1" applyAlignment="1">
      <alignment horizontal="center" vertical="center" wrapText="1"/>
    </xf>
    <xf numFmtId="0" fontId="67" fillId="2" borderId="6" xfId="0" applyFont="1" applyFill="1" applyBorder="1" applyAlignment="1">
      <alignment horizontal="center" vertical="center" wrapText="1"/>
    </xf>
    <xf numFmtId="0" fontId="67" fillId="3" borderId="7" xfId="0" applyFont="1" applyFill="1" applyBorder="1" applyAlignment="1">
      <alignment horizontal="left" vertical="center" wrapText="1"/>
    </xf>
    <xf numFmtId="165" fontId="66" fillId="3" borderId="5" xfId="0" applyNumberFormat="1" applyFont="1" applyFill="1" applyBorder="1" applyAlignment="1">
      <alignment horizontal="right" vertical="center" wrapText="1"/>
    </xf>
    <xf numFmtId="165" fontId="66" fillId="3" borderId="7" xfId="0" applyNumberFormat="1" applyFont="1" applyFill="1" applyBorder="1" applyAlignment="1">
      <alignment horizontal="right" vertical="center" wrapText="1"/>
    </xf>
    <xf numFmtId="165" fontId="66" fillId="3" borderId="6" xfId="0" applyNumberFormat="1" applyFont="1" applyFill="1" applyBorder="1" applyAlignment="1">
      <alignment horizontal="right" vertical="center" wrapText="1"/>
    </xf>
    <xf numFmtId="165" fontId="66" fillId="2" borderId="5" xfId="0" applyNumberFormat="1" applyFont="1" applyFill="1" applyBorder="1" applyAlignment="1">
      <alignment horizontal="center" vertical="center" wrapText="1"/>
    </xf>
    <xf numFmtId="165" fontId="66" fillId="2" borderId="7" xfId="0" applyNumberFormat="1" applyFont="1" applyFill="1" applyBorder="1" applyAlignment="1">
      <alignment horizontal="center" vertical="center" wrapText="1"/>
    </xf>
    <xf numFmtId="165" fontId="66" fillId="2" borderId="6" xfId="0" applyNumberFormat="1" applyFont="1" applyFill="1" applyBorder="1" applyAlignment="1">
      <alignment horizontal="center" vertical="center" wrapText="1"/>
    </xf>
    <xf numFmtId="0" fontId="68" fillId="19" borderId="1" xfId="0" applyFont="1" applyFill="1" applyBorder="1" applyAlignment="1">
      <alignment horizontal="center" vertical="center"/>
    </xf>
    <xf numFmtId="0" fontId="69" fillId="0" borderId="1" xfId="0" applyFont="1" applyBorder="1" applyAlignment="1">
      <alignment horizontal="left"/>
    </xf>
    <xf numFmtId="0" fontId="1" fillId="3" borderId="5" xfId="0" applyFont="1" applyFill="1" applyBorder="1" applyAlignment="1">
      <alignment horizontal="left" vertical="center" wrapText="1"/>
    </xf>
    <xf numFmtId="0" fontId="43" fillId="3" borderId="7" xfId="0" applyFont="1" applyFill="1" applyBorder="1" applyAlignment="1">
      <alignment horizontal="left" vertical="center" wrapText="1"/>
    </xf>
    <xf numFmtId="0" fontId="43" fillId="3" borderId="6" xfId="0" applyFont="1" applyFill="1" applyBorder="1" applyAlignment="1">
      <alignment horizontal="left" vertical="center" wrapText="1"/>
    </xf>
    <xf numFmtId="0" fontId="1" fillId="2" borderId="5" xfId="0" applyFont="1" applyFill="1" applyBorder="1" applyAlignment="1">
      <alignment horizontal="left" vertical="center" wrapText="1"/>
    </xf>
    <xf numFmtId="0" fontId="43" fillId="2" borderId="7" xfId="0" applyFont="1" applyFill="1" applyBorder="1" applyAlignment="1">
      <alignment horizontal="left" vertical="center" wrapText="1"/>
    </xf>
    <xf numFmtId="0" fontId="43" fillId="2" borderId="6"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43" fillId="2" borderId="7" xfId="0" applyFont="1" applyFill="1" applyBorder="1" applyAlignment="1">
      <alignment horizontal="center" vertical="center" wrapText="1"/>
    </xf>
    <xf numFmtId="0" fontId="43" fillId="2" borderId="6" xfId="0" applyFont="1" applyFill="1" applyBorder="1" applyAlignment="1">
      <alignment horizontal="center" vertical="center" wrapText="1"/>
    </xf>
    <xf numFmtId="0" fontId="1" fillId="2" borderId="7" xfId="0" applyFont="1" applyFill="1" applyBorder="1" applyAlignment="1">
      <alignment horizontal="left" vertical="center" wrapText="1"/>
    </xf>
    <xf numFmtId="0" fontId="1" fillId="2" borderId="6" xfId="0" applyFont="1" applyFill="1" applyBorder="1" applyAlignment="1">
      <alignment horizontal="left" vertical="center" wrapText="1"/>
    </xf>
    <xf numFmtId="0" fontId="22" fillId="23" borderId="1" xfId="4" applyFont="1" applyFill="1" applyBorder="1" applyAlignment="1">
      <alignment horizontal="center" vertical="center" wrapText="1"/>
    </xf>
    <xf numFmtId="0" fontId="22" fillId="23" borderId="1" xfId="4" applyFont="1" applyFill="1" applyBorder="1" applyAlignment="1">
      <alignment horizontal="center" vertical="center"/>
    </xf>
    <xf numFmtId="0" fontId="45" fillId="0" borderId="0" xfId="4" applyFont="1" applyAlignment="1">
      <alignment horizontal="center"/>
    </xf>
    <xf numFmtId="0" fontId="13" fillId="0" borderId="1" xfId="4" applyFont="1" applyBorder="1" applyAlignment="1">
      <alignment horizontal="left"/>
    </xf>
    <xf numFmtId="0" fontId="13" fillId="9" borderId="5" xfId="4" applyFont="1" applyFill="1" applyBorder="1" applyAlignment="1">
      <alignment horizontal="left" vertical="center" wrapText="1"/>
    </xf>
    <xf numFmtId="170" fontId="13" fillId="9" borderId="5" xfId="5" applyNumberFormat="1" applyFont="1" applyFill="1" applyBorder="1" applyAlignment="1" applyProtection="1">
      <alignment horizontal="right" vertical="center" wrapText="1"/>
    </xf>
    <xf numFmtId="170" fontId="13" fillId="9" borderId="7" xfId="5" applyNumberFormat="1" applyFont="1" applyFill="1" applyBorder="1" applyAlignment="1" applyProtection="1">
      <alignment horizontal="right" vertical="center" wrapText="1"/>
    </xf>
    <xf numFmtId="170" fontId="13" fillId="9" borderId="6" xfId="5" applyNumberFormat="1" applyFont="1" applyFill="1" applyBorder="1" applyAlignment="1" applyProtection="1">
      <alignment horizontal="right" vertical="center" wrapText="1"/>
    </xf>
    <xf numFmtId="0" fontId="13" fillId="9" borderId="5" xfId="4" applyFont="1" applyFill="1" applyBorder="1" applyAlignment="1">
      <alignment horizontal="center" vertical="center" wrapText="1"/>
    </xf>
    <xf numFmtId="0" fontId="13" fillId="9" borderId="7" xfId="4" applyFont="1" applyFill="1" applyBorder="1" applyAlignment="1">
      <alignment horizontal="center" vertical="center" wrapText="1"/>
    </xf>
    <xf numFmtId="0" fontId="13" fillId="9" borderId="6" xfId="4" applyFont="1" applyFill="1" applyBorder="1" applyAlignment="1">
      <alignment horizontal="center" vertical="center" wrapText="1"/>
    </xf>
    <xf numFmtId="0" fontId="13" fillId="11" borderId="5" xfId="4" applyFont="1" applyFill="1" applyBorder="1" applyAlignment="1">
      <alignment horizontal="left" vertical="center" wrapText="1"/>
    </xf>
    <xf numFmtId="0" fontId="13" fillId="11" borderId="7" xfId="4" applyFont="1" applyFill="1" applyBorder="1" applyAlignment="1">
      <alignment horizontal="left" vertical="center" wrapText="1"/>
    </xf>
    <xf numFmtId="0" fontId="13" fillId="11" borderId="6" xfId="4" applyFont="1" applyFill="1" applyBorder="1" applyAlignment="1">
      <alignment horizontal="left" vertical="center" wrapText="1"/>
    </xf>
    <xf numFmtId="0" fontId="22" fillId="23" borderId="1" xfId="4" applyFont="1" applyFill="1" applyBorder="1" applyAlignment="1">
      <alignment horizontal="center"/>
    </xf>
    <xf numFmtId="170" fontId="13" fillId="11" borderId="5" xfId="4" applyNumberFormat="1" applyFont="1" applyFill="1" applyBorder="1" applyAlignment="1">
      <alignment horizontal="center" vertical="center" wrapText="1"/>
    </xf>
    <xf numFmtId="170" fontId="13" fillId="11" borderId="7" xfId="4" applyNumberFormat="1" applyFont="1" applyFill="1" applyBorder="1" applyAlignment="1">
      <alignment horizontal="center" vertical="center" wrapText="1"/>
    </xf>
    <xf numFmtId="170" fontId="13" fillId="11" borderId="6" xfId="4" applyNumberFormat="1" applyFont="1" applyFill="1" applyBorder="1" applyAlignment="1">
      <alignment horizontal="center" vertical="center" wrapText="1"/>
    </xf>
    <xf numFmtId="0" fontId="8" fillId="12" borderId="5" xfId="4" applyFont="1" applyFill="1" applyBorder="1" applyAlignment="1">
      <alignment horizontal="left" vertical="center" wrapText="1"/>
    </xf>
    <xf numFmtId="0" fontId="8" fillId="12" borderId="7" xfId="4" applyFont="1" applyFill="1" applyBorder="1" applyAlignment="1">
      <alignment horizontal="left" vertical="center" wrapText="1"/>
    </xf>
    <xf numFmtId="0" fontId="8" fillId="12" borderId="6" xfId="4" applyFont="1" applyFill="1" applyBorder="1" applyAlignment="1">
      <alignment horizontal="left" vertical="center" wrapText="1"/>
    </xf>
    <xf numFmtId="0" fontId="8" fillId="12" borderId="5" xfId="4" applyFont="1" applyFill="1" applyBorder="1" applyAlignment="1">
      <alignment horizontal="center" vertical="center" wrapText="1"/>
    </xf>
    <xf numFmtId="0" fontId="8" fillId="12" borderId="7" xfId="4" applyFont="1" applyFill="1" applyBorder="1" applyAlignment="1">
      <alignment horizontal="center" vertical="center" wrapText="1"/>
    </xf>
    <xf numFmtId="0" fontId="8" fillId="12" borderId="6" xfId="4" applyFont="1" applyFill="1" applyBorder="1" applyAlignment="1">
      <alignment horizontal="center" vertical="center" wrapText="1"/>
    </xf>
    <xf numFmtId="0" fontId="8" fillId="9" borderId="7" xfId="4" applyFont="1" applyFill="1" applyBorder="1" applyAlignment="1">
      <alignment horizontal="center" vertical="center" wrapText="1"/>
    </xf>
    <xf numFmtId="0" fontId="8" fillId="9" borderId="6" xfId="4" applyFont="1" applyFill="1" applyBorder="1" applyAlignment="1">
      <alignment horizontal="center" vertical="center" wrapText="1"/>
    </xf>
    <xf numFmtId="0" fontId="8" fillId="9" borderId="5" xfId="4" applyFont="1" applyFill="1" applyBorder="1" applyAlignment="1">
      <alignment horizontal="center" vertical="center" wrapText="1"/>
    </xf>
    <xf numFmtId="0" fontId="8" fillId="27" borderId="5" xfId="4" applyFont="1" applyFill="1" applyBorder="1" applyAlignment="1">
      <alignment horizontal="center" vertical="center" wrapText="1"/>
    </xf>
    <xf numFmtId="0" fontId="8" fillId="27" borderId="7" xfId="4" applyFont="1" applyFill="1" applyBorder="1" applyAlignment="1">
      <alignment horizontal="center" vertical="center" wrapText="1"/>
    </xf>
    <xf numFmtId="0" fontId="8" fillId="27" borderId="6" xfId="4" applyFont="1" applyFill="1" applyBorder="1" applyAlignment="1">
      <alignment horizontal="center" vertical="center" wrapText="1"/>
    </xf>
    <xf numFmtId="1" fontId="22" fillId="23" borderId="1" xfId="4" applyNumberFormat="1" applyFont="1" applyFill="1" applyBorder="1" applyAlignment="1">
      <alignment horizontal="center" vertical="center" wrapText="1"/>
    </xf>
    <xf numFmtId="0" fontId="6" fillId="0" borderId="0" xfId="0" applyFont="1" applyAlignment="1">
      <alignment horizontal="center" wrapText="1"/>
    </xf>
    <xf numFmtId="0" fontId="6" fillId="0" borderId="0" xfId="0" applyFont="1" applyAlignment="1">
      <alignment horizontal="center"/>
    </xf>
    <xf numFmtId="0" fontId="56" fillId="19" borderId="1" xfId="0" applyFont="1" applyFill="1" applyBorder="1" applyAlignment="1">
      <alignment horizontal="right"/>
    </xf>
    <xf numFmtId="0" fontId="57" fillId="0" borderId="0" xfId="0" applyFont="1" applyAlignment="1">
      <alignment horizontal="center"/>
    </xf>
    <xf numFmtId="0" fontId="6" fillId="0" borderId="23" xfId="0" applyFont="1" applyBorder="1" applyAlignment="1">
      <alignment horizontal="center" wrapText="1"/>
    </xf>
    <xf numFmtId="0" fontId="6" fillId="0" borderId="23" xfId="0" applyFont="1" applyBorder="1" applyAlignment="1">
      <alignment horizontal="center"/>
    </xf>
    <xf numFmtId="0" fontId="6" fillId="0" borderId="18" xfId="0" applyFont="1" applyBorder="1" applyAlignment="1">
      <alignment horizontal="center"/>
    </xf>
    <xf numFmtId="0" fontId="6" fillId="0" borderId="15" xfId="0" applyFont="1" applyBorder="1" applyAlignment="1">
      <alignment horizontal="center"/>
    </xf>
    <xf numFmtId="0" fontId="51" fillId="19" borderId="2" xfId="0" applyFont="1" applyFill="1" applyBorder="1" applyAlignment="1">
      <alignment horizontal="center" vertical="center"/>
    </xf>
    <xf numFmtId="0" fontId="51" fillId="19" borderId="3" xfId="0" applyFont="1" applyFill="1" applyBorder="1" applyAlignment="1">
      <alignment horizontal="center" vertical="center"/>
    </xf>
    <xf numFmtId="0" fontId="44" fillId="0" borderId="0" xfId="0" applyFont="1" applyAlignment="1">
      <alignment horizontal="center" vertical="center"/>
    </xf>
    <xf numFmtId="0" fontId="0" fillId="0" borderId="15" xfId="0" applyBorder="1" applyAlignment="1">
      <alignment horizontal="center"/>
    </xf>
    <xf numFmtId="0" fontId="6" fillId="0" borderId="0" xfId="0" applyFont="1" applyBorder="1" applyAlignment="1">
      <alignment horizontal="center" vertical="center"/>
    </xf>
    <xf numFmtId="0" fontId="6" fillId="0" borderId="15" xfId="0" applyFont="1" applyBorder="1" applyAlignment="1">
      <alignment horizontal="center" vertical="center"/>
    </xf>
  </cellXfs>
  <cellStyles count="11">
    <cellStyle name="Comma" xfId="1" builtinId="3"/>
    <cellStyle name="Comma 2" xfId="5" xr:uid="{6F5A0B4E-AB99-4B7C-9307-25E5E0D7501D}"/>
    <cellStyle name="Comma 3" xfId="10" xr:uid="{685DD925-F0F3-49B1-B489-8427AFB4505B}"/>
    <cellStyle name="Currency" xfId="2" builtinId="4"/>
    <cellStyle name="Currency 2" xfId="7" xr:uid="{7C9B6436-8656-4B7E-8D65-3E6B34858011}"/>
    <cellStyle name="Normal" xfId="0" builtinId="0"/>
    <cellStyle name="Normal 2" xfId="4" xr:uid="{4E29F495-D5A6-4603-BB17-C3E9838A2B70}"/>
    <cellStyle name="Normal 3" xfId="6" xr:uid="{E9358538-A5C0-436C-93FA-C328DADE26F2}"/>
    <cellStyle name="Normal 4" xfId="9" xr:uid="{25B389E9-A640-44D6-8045-E41ECA8DAEE1}"/>
    <cellStyle name="Percent" xfId="8" builtinId="5"/>
    <cellStyle name="Percent 2" xfId="3" xr:uid="{5D28957E-2A0F-46D4-8A52-61D212BDCCA8}"/>
  </cellStyles>
  <dxfs count="0"/>
  <tableStyles count="0" defaultTableStyle="TableStyleMedium2" defaultPivotStyle="PivotStyleLight16"/>
  <colors>
    <mruColors>
      <color rgb="FFD9D9D9"/>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43"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bg1">
                <a:lumMod val="50000"/>
              </a:schemeClr>
            </a:solidFill>
          </c:spPr>
          <c:dPt>
            <c:idx val="0"/>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1-63AE-4817-86EF-CAF2FFC3B4DB}"/>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3-63AE-4817-86EF-CAF2FFC3B4DB}"/>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5-63AE-4817-86EF-CAF2FFC3B4DB}"/>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Gotham" panose="02000504050000020004" pitchFamily="2" charset="0"/>
                    <a:ea typeface="+mn-ea"/>
                    <a:cs typeface="+mn-cs"/>
                  </a:defRPr>
                </a:pPr>
                <a:endParaRPr lang="es-D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'Presupuesto por Programatica'!$I$4:$I$6</c:f>
              <c:strCache>
                <c:ptCount val="3"/>
                <c:pt idx="0">
                  <c:v>Levantamiento Nacional de Hogares para su Categorización</c:v>
                </c:pt>
                <c:pt idx="1">
                  <c:v>Creación de un Sistema de Registro de Beneficiarios a tráves de Datos Administrativos</c:v>
                </c:pt>
                <c:pt idx="2">
                  <c:v>Dirección y Coordinación (SIUBEN</c:v>
                </c:pt>
              </c:strCache>
            </c:strRef>
          </c:cat>
          <c:val>
            <c:numRef>
              <c:f>'Presupuesto por Programatica'!$J$4:$J$6</c:f>
              <c:numCache>
                <c:formatCode>0%</c:formatCode>
                <c:ptCount val="3"/>
                <c:pt idx="0">
                  <c:v>0.56006283691060588</c:v>
                </c:pt>
                <c:pt idx="1">
                  <c:v>0.24971005756299958</c:v>
                </c:pt>
                <c:pt idx="2">
                  <c:v>0.1902271055263946</c:v>
                </c:pt>
              </c:numCache>
            </c:numRef>
          </c:val>
          <c:extLst>
            <c:ext xmlns:c16="http://schemas.microsoft.com/office/drawing/2014/chart" uri="{C3380CC4-5D6E-409C-BE32-E72D297353CC}">
              <c16:uniqueId val="{00000006-63AE-4817-86EF-CAF2FFC3B4DB}"/>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legend>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5">
                <a:lumMod val="5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Gotham" panose="02000504050000020004" pitchFamily="2" charset="0"/>
                    <a:ea typeface="+mn-ea"/>
                    <a:cs typeface="+mn-cs"/>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('Presupuesto por Objeto de Gasto'!$B$5:$B$7,'Presupuesto por Objeto de Gasto'!$B$9:$B$10)</c:f>
              <c:strCache>
                <c:ptCount val="5"/>
                <c:pt idx="0">
                  <c:v> Servicios personales  </c:v>
                </c:pt>
                <c:pt idx="1">
                  <c:v> Servicios no personales  </c:v>
                </c:pt>
                <c:pt idx="2">
                  <c:v> Materiales y suministros  </c:v>
                </c:pt>
                <c:pt idx="3">
                  <c:v>Ayudas y donaciones</c:v>
                </c:pt>
                <c:pt idx="4">
                  <c:v> Activos no financieros  </c:v>
                </c:pt>
              </c:strCache>
            </c:strRef>
          </c:cat>
          <c:val>
            <c:numRef>
              <c:f>('Presupuesto por Objeto de Gasto'!$D$5:$D$7,'Presupuesto por Objeto de Gasto'!$D$9:$D$10)</c:f>
              <c:numCache>
                <c:formatCode>0.00%</c:formatCode>
                <c:ptCount val="5"/>
                <c:pt idx="0">
                  <c:v>0.6974697129603793</c:v>
                </c:pt>
                <c:pt idx="1">
                  <c:v>0.24238400811250357</c:v>
                </c:pt>
                <c:pt idx="2">
                  <c:v>5.0525487621132861E-2</c:v>
                </c:pt>
                <c:pt idx="3">
                  <c:v>1.5771789026203692E-4</c:v>
                </c:pt>
                <c:pt idx="4">
                  <c:v>9.463073415722216E-3</c:v>
                </c:pt>
              </c:numCache>
            </c:numRef>
          </c:val>
          <c:extLst>
            <c:ext xmlns:c16="http://schemas.microsoft.com/office/drawing/2014/chart" uri="{C3380CC4-5D6E-409C-BE32-E72D297353CC}">
              <c16:uniqueId val="{00000000-C52C-4122-B7EC-BCFC7522E5B5}"/>
            </c:ext>
          </c:extLst>
        </c:ser>
        <c:dLbls>
          <c:dLblPos val="inEnd"/>
          <c:showLegendKey val="0"/>
          <c:showVal val="1"/>
          <c:showCatName val="0"/>
          <c:showSerName val="0"/>
          <c:showPercent val="0"/>
          <c:showBubbleSize val="0"/>
        </c:dLbls>
        <c:gapWidth val="65"/>
        <c:axId val="893308664"/>
        <c:axId val="893305424"/>
      </c:barChart>
      <c:catAx>
        <c:axId val="893308664"/>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DO"/>
          </a:p>
        </c:txPr>
        <c:crossAx val="893305424"/>
        <c:crosses val="autoZero"/>
        <c:auto val="1"/>
        <c:lblAlgn val="ctr"/>
        <c:lblOffset val="100"/>
        <c:noMultiLvlLbl val="0"/>
      </c:catAx>
      <c:valAx>
        <c:axId val="893305424"/>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DO"/>
          </a:p>
        </c:txPr>
        <c:crossAx val="893308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dk1">
          <a:lumMod val="25000"/>
          <a:lumOff val="7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DO"/>
              <a:t>Fuentes de financiamiento POA 2024</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1.8867924528301886E-2"/>
          <c:y val="0.155247889594024"/>
          <c:w val="0.95387840670859536"/>
          <c:h val="0.72258544136847203"/>
        </c:manualLayout>
      </c:layout>
      <c:barChart>
        <c:barDir val="col"/>
        <c:grouping val="clustered"/>
        <c:varyColors val="0"/>
        <c:ser>
          <c:idx val="0"/>
          <c:order val="0"/>
          <c:spPr>
            <a:solidFill>
              <a:schemeClr val="accent5">
                <a:lumMod val="50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'Presupuesto por fuente de finan'!$C$27:$C$30</c:f>
              <c:strCache>
                <c:ptCount val="4"/>
                <c:pt idx="0">
                  <c:v>Presupuesto Nacional Asignado al SIUBEN</c:v>
                </c:pt>
                <c:pt idx="1">
                  <c:v>Banco Mundial </c:v>
                </c:pt>
                <c:pt idx="2">
                  <c:v>BID</c:v>
                </c:pt>
                <c:pt idx="3">
                  <c:v>Cooperación Francesa</c:v>
                </c:pt>
              </c:strCache>
            </c:strRef>
          </c:cat>
          <c:val>
            <c:numRef>
              <c:f>'Presupuesto por fuente de finan'!$G$27:$G$30</c:f>
              <c:numCache>
                <c:formatCode>0%</c:formatCode>
                <c:ptCount val="4"/>
                <c:pt idx="0">
                  <c:v>0.34343617170505963</c:v>
                </c:pt>
                <c:pt idx="1">
                  <c:v>0.13477292293745555</c:v>
                </c:pt>
                <c:pt idx="2">
                  <c:v>0.49225023188540284</c:v>
                </c:pt>
                <c:pt idx="3">
                  <c:v>2.9540673472081998E-2</c:v>
                </c:pt>
              </c:numCache>
            </c:numRef>
          </c:val>
          <c:extLst>
            <c:ext xmlns:c16="http://schemas.microsoft.com/office/drawing/2014/chart" uri="{C3380CC4-5D6E-409C-BE32-E72D297353CC}">
              <c16:uniqueId val="{00000000-DF1C-487F-892C-8192C5C13384}"/>
            </c:ext>
          </c:extLst>
        </c:ser>
        <c:dLbls>
          <c:dLblPos val="outEnd"/>
          <c:showLegendKey val="0"/>
          <c:showVal val="1"/>
          <c:showCatName val="0"/>
          <c:showSerName val="0"/>
          <c:showPercent val="0"/>
          <c:showBubbleSize val="0"/>
        </c:dLbls>
        <c:gapWidth val="444"/>
        <c:overlap val="-90"/>
        <c:axId val="1057293336"/>
        <c:axId val="1057290816"/>
      </c:barChart>
      <c:catAx>
        <c:axId val="10572933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DO"/>
          </a:p>
        </c:txPr>
        <c:crossAx val="1057290816"/>
        <c:crosses val="autoZero"/>
        <c:auto val="1"/>
        <c:lblAlgn val="ctr"/>
        <c:lblOffset val="100"/>
        <c:noMultiLvlLbl val="0"/>
      </c:catAx>
      <c:valAx>
        <c:axId val="1057290816"/>
        <c:scaling>
          <c:orientation val="minMax"/>
        </c:scaling>
        <c:delete val="1"/>
        <c:axPos val="l"/>
        <c:numFmt formatCode="0%" sourceLinked="1"/>
        <c:majorTickMark val="none"/>
        <c:minorTickMark val="none"/>
        <c:tickLblPos val="nextTo"/>
        <c:crossAx val="1057293336"/>
        <c:crosses val="autoZero"/>
        <c:crossBetween val="between"/>
      </c:valAx>
      <c:spPr>
        <a:noFill/>
        <a:ln>
          <a:noFill/>
        </a:ln>
        <a:effectLst/>
      </c:spPr>
    </c:plotArea>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5.xml.rels><?xml version="1.0" encoding="UTF-8" standalone="yes"?>
<Relationships xmlns="http://schemas.openxmlformats.org/package/2006/relationships"><Relationship Id="rId1" Type="http://schemas.openxmlformats.org/officeDocument/2006/relationships/image" Target="../media/image5.png"/></Relationships>
</file>

<file path=xl/drawings/_rels/drawing26.xml.rels><?xml version="1.0" encoding="UTF-8" standalone="yes"?>
<Relationships xmlns="http://schemas.openxmlformats.org/package/2006/relationships"><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49167</xdr:colOff>
      <xdr:row>0</xdr:row>
      <xdr:rowOff>104270</xdr:rowOff>
    </xdr:from>
    <xdr:to>
      <xdr:col>10</xdr:col>
      <xdr:colOff>277909</xdr:colOff>
      <xdr:row>7</xdr:row>
      <xdr:rowOff>324680</xdr:rowOff>
    </xdr:to>
    <xdr:pic>
      <xdr:nvPicPr>
        <xdr:cNvPr id="2" name="Picture 1">
          <a:extLst>
            <a:ext uri="{FF2B5EF4-FFF2-40B4-BE49-F238E27FC236}">
              <a16:creationId xmlns:a16="http://schemas.microsoft.com/office/drawing/2014/main" id="{018835C9-A584-490F-BE3E-99A80A9533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812917" y="104270"/>
          <a:ext cx="2848117" cy="210376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9</xdr:col>
      <xdr:colOff>208983</xdr:colOff>
      <xdr:row>1</xdr:row>
      <xdr:rowOff>82211</xdr:rowOff>
    </xdr:from>
    <xdr:ext cx="2823908" cy="1880944"/>
    <xdr:pic>
      <xdr:nvPicPr>
        <xdr:cNvPr id="2" name="Picture 1">
          <a:extLst>
            <a:ext uri="{FF2B5EF4-FFF2-40B4-BE49-F238E27FC236}">
              <a16:creationId xmlns:a16="http://schemas.microsoft.com/office/drawing/2014/main" id="{5C01E045-A884-4DF7-A06B-C61E319310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534583" y="260011"/>
          <a:ext cx="2823908" cy="1880944"/>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6</xdr:col>
      <xdr:colOff>107739</xdr:colOff>
      <xdr:row>0</xdr:row>
      <xdr:rowOff>0</xdr:rowOff>
    </xdr:from>
    <xdr:ext cx="2601356" cy="1763594"/>
    <xdr:pic>
      <xdr:nvPicPr>
        <xdr:cNvPr id="2" name="Picture 1">
          <a:extLst>
            <a:ext uri="{FF2B5EF4-FFF2-40B4-BE49-F238E27FC236}">
              <a16:creationId xmlns:a16="http://schemas.microsoft.com/office/drawing/2014/main" id="{2040562F-891D-4E3C-849F-3FD14DE2D2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04191" y="0"/>
          <a:ext cx="2601356" cy="1763594"/>
        </a:xfrm>
        <a:prstGeom prst="rect">
          <a:avLst/>
        </a:prstGeom>
        <a:noFill/>
        <a:ln>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7</xdr:col>
      <xdr:colOff>394607</xdr:colOff>
      <xdr:row>0</xdr:row>
      <xdr:rowOff>0</xdr:rowOff>
    </xdr:from>
    <xdr:ext cx="2602838" cy="1850571"/>
    <xdr:pic>
      <xdr:nvPicPr>
        <xdr:cNvPr id="2" name="Picture 1">
          <a:extLst>
            <a:ext uri="{FF2B5EF4-FFF2-40B4-BE49-F238E27FC236}">
              <a16:creationId xmlns:a16="http://schemas.microsoft.com/office/drawing/2014/main" id="{99DED6AD-3592-45D2-8404-1645CF71B7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33516" y="0"/>
          <a:ext cx="2602838" cy="1850571"/>
        </a:xfrm>
        <a:prstGeom prst="rect">
          <a:avLst/>
        </a:prstGeom>
        <a:noFill/>
        <a:ln>
          <a:noFill/>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11</xdr:col>
      <xdr:colOff>376632</xdr:colOff>
      <xdr:row>0</xdr:row>
      <xdr:rowOff>0</xdr:rowOff>
    </xdr:from>
    <xdr:ext cx="2585096" cy="1861008"/>
    <xdr:pic>
      <xdr:nvPicPr>
        <xdr:cNvPr id="2" name="Picture 1">
          <a:extLst>
            <a:ext uri="{FF2B5EF4-FFF2-40B4-BE49-F238E27FC236}">
              <a16:creationId xmlns:a16="http://schemas.microsoft.com/office/drawing/2014/main" id="{1D84429D-9678-4BA9-A092-3EB2EC6F80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5392514" y="0"/>
          <a:ext cx="2585096" cy="1861008"/>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10</xdr:col>
      <xdr:colOff>1286132</xdr:colOff>
      <xdr:row>0</xdr:row>
      <xdr:rowOff>0</xdr:rowOff>
    </xdr:from>
    <xdr:ext cx="2282029" cy="1756975"/>
    <xdr:pic>
      <xdr:nvPicPr>
        <xdr:cNvPr id="2" name="Picture 1">
          <a:extLst>
            <a:ext uri="{FF2B5EF4-FFF2-40B4-BE49-F238E27FC236}">
              <a16:creationId xmlns:a16="http://schemas.microsoft.com/office/drawing/2014/main" id="{424A022D-7B29-43A8-B492-C1FFB7A3E8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691784" y="0"/>
          <a:ext cx="2282029" cy="175697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6</xdr:col>
      <xdr:colOff>160564</xdr:colOff>
      <xdr:row>0</xdr:row>
      <xdr:rowOff>88666</xdr:rowOff>
    </xdr:from>
    <xdr:to>
      <xdr:col>9</xdr:col>
      <xdr:colOff>481278</xdr:colOff>
      <xdr:row>6</xdr:row>
      <xdr:rowOff>306380</xdr:rowOff>
    </xdr:to>
    <xdr:pic>
      <xdr:nvPicPr>
        <xdr:cNvPr id="2" name="Picture 1">
          <a:extLst>
            <a:ext uri="{FF2B5EF4-FFF2-40B4-BE49-F238E27FC236}">
              <a16:creationId xmlns:a16="http://schemas.microsoft.com/office/drawing/2014/main" id="{E4405778-FBA4-4C02-82BD-75F597A294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957862" y="88666"/>
          <a:ext cx="2594424" cy="169255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905090</xdr:colOff>
      <xdr:row>0</xdr:row>
      <xdr:rowOff>0</xdr:rowOff>
    </xdr:from>
    <xdr:to>
      <xdr:col>12</xdr:col>
      <xdr:colOff>132819</xdr:colOff>
      <xdr:row>13</xdr:row>
      <xdr:rowOff>101510</xdr:rowOff>
    </xdr:to>
    <xdr:pic>
      <xdr:nvPicPr>
        <xdr:cNvPr id="2" name="Picture 1">
          <a:extLst>
            <a:ext uri="{FF2B5EF4-FFF2-40B4-BE49-F238E27FC236}">
              <a16:creationId xmlns:a16="http://schemas.microsoft.com/office/drawing/2014/main" id="{7DABEC2A-F682-47CE-9DA1-67D48987CE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447102" y="0"/>
          <a:ext cx="3688217" cy="251760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9</xdr:col>
      <xdr:colOff>213892</xdr:colOff>
      <xdr:row>5</xdr:row>
      <xdr:rowOff>104321</xdr:rowOff>
    </xdr:from>
    <xdr:to>
      <xdr:col>10</xdr:col>
      <xdr:colOff>1269999</xdr:colOff>
      <xdr:row>17</xdr:row>
      <xdr:rowOff>76826</xdr:rowOff>
    </xdr:to>
    <xdr:pic>
      <xdr:nvPicPr>
        <xdr:cNvPr id="2" name="Picture 1">
          <a:extLst>
            <a:ext uri="{FF2B5EF4-FFF2-40B4-BE49-F238E27FC236}">
              <a16:creationId xmlns:a16="http://schemas.microsoft.com/office/drawing/2014/main" id="{1E159283-1580-4F0D-838D-E5806137B2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950678" y="1011464"/>
          <a:ext cx="2893071" cy="214964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803387</xdr:colOff>
      <xdr:row>0</xdr:row>
      <xdr:rowOff>158750</xdr:rowOff>
    </xdr:from>
    <xdr:to>
      <xdr:col>11</xdr:col>
      <xdr:colOff>1041814</xdr:colOff>
      <xdr:row>9</xdr:row>
      <xdr:rowOff>119062</xdr:rowOff>
    </xdr:to>
    <xdr:pic>
      <xdr:nvPicPr>
        <xdr:cNvPr id="2" name="Picture 1">
          <a:extLst>
            <a:ext uri="{FF2B5EF4-FFF2-40B4-BE49-F238E27FC236}">
              <a16:creationId xmlns:a16="http://schemas.microsoft.com/office/drawing/2014/main" id="{08120DDA-29BB-42CE-A6C8-912FDDF5BD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277293" y="158750"/>
          <a:ext cx="2500615" cy="156765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5197655</xdr:colOff>
      <xdr:row>2</xdr:row>
      <xdr:rowOff>129036</xdr:rowOff>
    </xdr:from>
    <xdr:to>
      <xdr:col>6</xdr:col>
      <xdr:colOff>523741</xdr:colOff>
      <xdr:row>10</xdr:row>
      <xdr:rowOff>278261</xdr:rowOff>
    </xdr:to>
    <xdr:pic>
      <xdr:nvPicPr>
        <xdr:cNvPr id="2" name="Imagen 1">
          <a:extLst>
            <a:ext uri="{FF2B5EF4-FFF2-40B4-BE49-F238E27FC236}">
              <a16:creationId xmlns:a16="http://schemas.microsoft.com/office/drawing/2014/main" id="{C12CED27-44A9-44B0-8D84-9FA363CABA34}"/>
            </a:ext>
          </a:extLst>
        </xdr:cNvPr>
        <xdr:cNvPicPr>
          <a:picLocks noChangeAspect="1"/>
        </xdr:cNvPicPr>
      </xdr:nvPicPr>
      <xdr:blipFill>
        <a:blip xmlns:r="http://schemas.openxmlformats.org/officeDocument/2006/relationships" r:embed="rId1"/>
        <a:stretch>
          <a:fillRect/>
        </a:stretch>
      </xdr:blipFill>
      <xdr:spPr>
        <a:xfrm>
          <a:off x="17846855" y="510036"/>
          <a:ext cx="3041336" cy="1997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902266</xdr:colOff>
      <xdr:row>0</xdr:row>
      <xdr:rowOff>0</xdr:rowOff>
    </xdr:from>
    <xdr:to>
      <xdr:col>9</xdr:col>
      <xdr:colOff>1135015</xdr:colOff>
      <xdr:row>10</xdr:row>
      <xdr:rowOff>93908</xdr:rowOff>
    </xdr:to>
    <xdr:pic>
      <xdr:nvPicPr>
        <xdr:cNvPr id="2" name="Picture 1">
          <a:extLst>
            <a:ext uri="{FF2B5EF4-FFF2-40B4-BE49-F238E27FC236}">
              <a16:creationId xmlns:a16="http://schemas.microsoft.com/office/drawing/2014/main" id="{E9DB54F3-46D6-4A8F-A299-F66EA29F07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5507266" y="0"/>
          <a:ext cx="2629874" cy="184015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493579</xdr:colOff>
      <xdr:row>0</xdr:row>
      <xdr:rowOff>0</xdr:rowOff>
    </xdr:from>
    <xdr:to>
      <xdr:col>10</xdr:col>
      <xdr:colOff>1000125</xdr:colOff>
      <xdr:row>9</xdr:row>
      <xdr:rowOff>81797</xdr:rowOff>
    </xdr:to>
    <xdr:pic>
      <xdr:nvPicPr>
        <xdr:cNvPr id="2" name="Picture 1">
          <a:extLst>
            <a:ext uri="{FF2B5EF4-FFF2-40B4-BE49-F238E27FC236}">
              <a16:creationId xmlns:a16="http://schemas.microsoft.com/office/drawing/2014/main" id="{DDA74BA4-DF3C-46E8-A19A-A642A6F19F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034954" y="0"/>
          <a:ext cx="2665546" cy="165342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9</xdr:col>
      <xdr:colOff>132016</xdr:colOff>
      <xdr:row>0</xdr:row>
      <xdr:rowOff>41563</xdr:rowOff>
    </xdr:from>
    <xdr:ext cx="2864029" cy="1776846"/>
    <xdr:pic>
      <xdr:nvPicPr>
        <xdr:cNvPr id="2" name="Picture 1">
          <a:extLst>
            <a:ext uri="{FF2B5EF4-FFF2-40B4-BE49-F238E27FC236}">
              <a16:creationId xmlns:a16="http://schemas.microsoft.com/office/drawing/2014/main" id="{AEE83177-C646-4F05-A916-160063FCD399}"/>
            </a:ext>
          </a:extLst>
        </xdr:cNvPr>
        <xdr:cNvPicPr/>
      </xdr:nvPicPr>
      <xdr:blipFill>
        <a:blip xmlns:r="http://schemas.openxmlformats.org/officeDocument/2006/relationships" r:embed="rId1"/>
        <a:stretch/>
      </xdr:blipFill>
      <xdr:spPr>
        <a:xfrm>
          <a:off x="15164198" y="41563"/>
          <a:ext cx="2864029" cy="1776846"/>
        </a:xfrm>
        <a:prstGeom prst="rect">
          <a:avLst/>
        </a:prstGeom>
        <a:ln w="0">
          <a:noFill/>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9</xdr:col>
      <xdr:colOff>1221766</xdr:colOff>
      <xdr:row>1</xdr:row>
      <xdr:rowOff>14288</xdr:rowOff>
    </xdr:from>
    <xdr:ext cx="3312134" cy="2347912"/>
    <xdr:pic>
      <xdr:nvPicPr>
        <xdr:cNvPr id="2" name="Picture 1">
          <a:extLst>
            <a:ext uri="{FF2B5EF4-FFF2-40B4-BE49-F238E27FC236}">
              <a16:creationId xmlns:a16="http://schemas.microsoft.com/office/drawing/2014/main" id="{769F79D9-E888-493A-BB23-F3AB2DC7AA70}"/>
            </a:ext>
          </a:extLst>
        </xdr:cNvPr>
        <xdr:cNvPicPr/>
      </xdr:nvPicPr>
      <xdr:blipFill>
        <a:blip xmlns:r="http://schemas.openxmlformats.org/officeDocument/2006/relationships" r:embed="rId1"/>
        <a:stretch/>
      </xdr:blipFill>
      <xdr:spPr>
        <a:xfrm>
          <a:off x="18366766" y="204788"/>
          <a:ext cx="3312134" cy="2347912"/>
        </a:xfrm>
        <a:prstGeom prst="rect">
          <a:avLst/>
        </a:prstGeom>
        <a:ln w="0">
          <a:noFill/>
        </a:ln>
      </xdr:spPr>
    </xdr:pic>
    <xdr:clientData/>
  </xdr:oneCellAnchor>
</xdr:wsDr>
</file>

<file path=xl/drawings/drawing23.xml><?xml version="1.0" encoding="utf-8"?>
<xdr:wsDr xmlns:xdr="http://schemas.openxmlformats.org/drawingml/2006/spreadsheetDrawing" xmlns:a="http://schemas.openxmlformats.org/drawingml/2006/main">
  <xdr:twoCellAnchor>
    <xdr:from>
      <xdr:col>0</xdr:col>
      <xdr:colOff>0</xdr:colOff>
      <xdr:row>9</xdr:row>
      <xdr:rowOff>85723</xdr:rowOff>
    </xdr:from>
    <xdr:to>
      <xdr:col>4</xdr:col>
      <xdr:colOff>723900</xdr:colOff>
      <xdr:row>23</xdr:row>
      <xdr:rowOff>171450</xdr:rowOff>
    </xdr:to>
    <xdr:graphicFrame macro="">
      <xdr:nvGraphicFramePr>
        <xdr:cNvPr id="2" name="Chart 1">
          <a:extLst>
            <a:ext uri="{FF2B5EF4-FFF2-40B4-BE49-F238E27FC236}">
              <a16:creationId xmlns:a16="http://schemas.microsoft.com/office/drawing/2014/main" id="{A8821CB2-AC11-4EC5-865E-43E6A51BB3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4</xdr:col>
      <xdr:colOff>266700</xdr:colOff>
      <xdr:row>15</xdr:row>
      <xdr:rowOff>80961</xdr:rowOff>
    </xdr:from>
    <xdr:to>
      <xdr:col>8</xdr:col>
      <xdr:colOff>1695450</xdr:colOff>
      <xdr:row>33</xdr:row>
      <xdr:rowOff>28574</xdr:rowOff>
    </xdr:to>
    <xdr:graphicFrame macro="">
      <xdr:nvGraphicFramePr>
        <xdr:cNvPr id="7" name="Chart 6">
          <a:extLst>
            <a:ext uri="{FF2B5EF4-FFF2-40B4-BE49-F238E27FC236}">
              <a16:creationId xmlns:a16="http://schemas.microsoft.com/office/drawing/2014/main" id="{521A4286-FA89-52B1-A69E-3C22DA7849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2783417</xdr:colOff>
      <xdr:row>0</xdr:row>
      <xdr:rowOff>28223</xdr:rowOff>
    </xdr:from>
    <xdr:to>
      <xdr:col>2</xdr:col>
      <xdr:colOff>95250</xdr:colOff>
      <xdr:row>8</xdr:row>
      <xdr:rowOff>18145</xdr:rowOff>
    </xdr:to>
    <xdr:pic>
      <xdr:nvPicPr>
        <xdr:cNvPr id="2" name="Imagen 1">
          <a:extLst>
            <a:ext uri="{FF2B5EF4-FFF2-40B4-BE49-F238E27FC236}">
              <a16:creationId xmlns:a16="http://schemas.microsoft.com/office/drawing/2014/main" id="{148EA180-4246-5F48-963E-AB28BDBE862A}"/>
            </a:ext>
          </a:extLst>
        </xdr:cNvPr>
        <xdr:cNvPicPr>
          <a:picLocks noChangeAspect="1"/>
        </xdr:cNvPicPr>
      </xdr:nvPicPr>
      <xdr:blipFill>
        <a:blip xmlns:r="http://schemas.openxmlformats.org/officeDocument/2006/relationships" r:embed="rId1"/>
        <a:stretch>
          <a:fillRect/>
        </a:stretch>
      </xdr:blipFill>
      <xdr:spPr>
        <a:xfrm>
          <a:off x="3566584" y="28223"/>
          <a:ext cx="2285999" cy="142925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1800225</xdr:colOff>
      <xdr:row>1</xdr:row>
      <xdr:rowOff>9525</xdr:rowOff>
    </xdr:from>
    <xdr:to>
      <xdr:col>2</xdr:col>
      <xdr:colOff>824186</xdr:colOff>
      <xdr:row>7</xdr:row>
      <xdr:rowOff>66675</xdr:rowOff>
    </xdr:to>
    <xdr:pic>
      <xdr:nvPicPr>
        <xdr:cNvPr id="2" name="Imagen 1">
          <a:extLst>
            <a:ext uri="{FF2B5EF4-FFF2-40B4-BE49-F238E27FC236}">
              <a16:creationId xmlns:a16="http://schemas.microsoft.com/office/drawing/2014/main" id="{C887177A-6B46-4774-A825-86BF834C07DB}"/>
            </a:ext>
          </a:extLst>
        </xdr:cNvPr>
        <xdr:cNvPicPr>
          <a:picLocks noChangeAspect="1"/>
        </xdr:cNvPicPr>
      </xdr:nvPicPr>
      <xdr:blipFill>
        <a:blip xmlns:r="http://schemas.openxmlformats.org/officeDocument/2006/relationships" r:embed="rId1"/>
        <a:stretch>
          <a:fillRect/>
        </a:stretch>
      </xdr:blipFill>
      <xdr:spPr>
        <a:xfrm>
          <a:off x="2390775" y="200025"/>
          <a:ext cx="1919561" cy="120015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xdr:col>
      <xdr:colOff>1162050</xdr:colOff>
      <xdr:row>0</xdr:row>
      <xdr:rowOff>161925</xdr:rowOff>
    </xdr:from>
    <xdr:to>
      <xdr:col>5</xdr:col>
      <xdr:colOff>1628775</xdr:colOff>
      <xdr:row>7</xdr:row>
      <xdr:rowOff>28575</xdr:rowOff>
    </xdr:to>
    <xdr:pic>
      <xdr:nvPicPr>
        <xdr:cNvPr id="2" name="Imagen 1">
          <a:extLst>
            <a:ext uri="{FF2B5EF4-FFF2-40B4-BE49-F238E27FC236}">
              <a16:creationId xmlns:a16="http://schemas.microsoft.com/office/drawing/2014/main" id="{59F74A8A-9A3A-423E-A88F-A8343FCEA0C2}"/>
            </a:ext>
          </a:extLst>
        </xdr:cNvPr>
        <xdr:cNvPicPr>
          <a:picLocks noChangeAspect="1"/>
        </xdr:cNvPicPr>
      </xdr:nvPicPr>
      <xdr:blipFill>
        <a:blip xmlns:r="http://schemas.openxmlformats.org/officeDocument/2006/relationships" r:embed="rId1"/>
        <a:stretch>
          <a:fillRect/>
        </a:stretch>
      </xdr:blipFill>
      <xdr:spPr>
        <a:xfrm>
          <a:off x="6286500" y="161925"/>
          <a:ext cx="1628775" cy="1200150"/>
        </a:xfrm>
        <a:prstGeom prst="rect">
          <a:avLst/>
        </a:prstGeom>
      </xdr:spPr>
    </xdr:pic>
    <xdr:clientData/>
  </xdr:twoCellAnchor>
  <xdr:twoCellAnchor>
    <xdr:from>
      <xdr:col>7</xdr:col>
      <xdr:colOff>180975</xdr:colOff>
      <xdr:row>25</xdr:row>
      <xdr:rowOff>14287</xdr:rowOff>
    </xdr:from>
    <xdr:to>
      <xdr:col>14</xdr:col>
      <xdr:colOff>38100</xdr:colOff>
      <xdr:row>42</xdr:row>
      <xdr:rowOff>9525</xdr:rowOff>
    </xdr:to>
    <xdr:graphicFrame macro="">
      <xdr:nvGraphicFramePr>
        <xdr:cNvPr id="4" name="Chart 3">
          <a:extLst>
            <a:ext uri="{FF2B5EF4-FFF2-40B4-BE49-F238E27FC236}">
              <a16:creationId xmlns:a16="http://schemas.microsoft.com/office/drawing/2014/main" id="{54921FF4-B834-2740-51D7-BC552C388C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170102</xdr:colOff>
      <xdr:row>0</xdr:row>
      <xdr:rowOff>0</xdr:rowOff>
    </xdr:from>
    <xdr:to>
      <xdr:col>9</xdr:col>
      <xdr:colOff>947654</xdr:colOff>
      <xdr:row>7</xdr:row>
      <xdr:rowOff>10824</xdr:rowOff>
    </xdr:to>
    <xdr:pic>
      <xdr:nvPicPr>
        <xdr:cNvPr id="2" name="Picture 1">
          <a:extLst>
            <a:ext uri="{FF2B5EF4-FFF2-40B4-BE49-F238E27FC236}">
              <a16:creationId xmlns:a16="http://schemas.microsoft.com/office/drawing/2014/main" id="{4A1BAEC9-9FEE-4EAF-8FEF-72D87168E7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271155" y="0"/>
          <a:ext cx="1913867" cy="12975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1586303</xdr:colOff>
      <xdr:row>0</xdr:row>
      <xdr:rowOff>0</xdr:rowOff>
    </xdr:from>
    <xdr:to>
      <xdr:col>12</xdr:col>
      <xdr:colOff>533400</xdr:colOff>
      <xdr:row>8</xdr:row>
      <xdr:rowOff>119859</xdr:rowOff>
    </xdr:to>
    <xdr:pic>
      <xdr:nvPicPr>
        <xdr:cNvPr id="2" name="Picture 1">
          <a:extLst>
            <a:ext uri="{FF2B5EF4-FFF2-40B4-BE49-F238E27FC236}">
              <a16:creationId xmlns:a16="http://schemas.microsoft.com/office/drawing/2014/main" id="{9AD04A5D-ED62-42FF-8F45-DCFDF46BA5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702603" y="0"/>
          <a:ext cx="2299897" cy="16438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9898</xdr:colOff>
      <xdr:row>0</xdr:row>
      <xdr:rowOff>0</xdr:rowOff>
    </xdr:from>
    <xdr:to>
      <xdr:col>9</xdr:col>
      <xdr:colOff>92050</xdr:colOff>
      <xdr:row>7</xdr:row>
      <xdr:rowOff>178594</xdr:rowOff>
    </xdr:to>
    <xdr:pic>
      <xdr:nvPicPr>
        <xdr:cNvPr id="2" name="Picture 1">
          <a:extLst>
            <a:ext uri="{FF2B5EF4-FFF2-40B4-BE49-F238E27FC236}">
              <a16:creationId xmlns:a16="http://schemas.microsoft.com/office/drawing/2014/main" id="{11740621-4B90-4304-91E0-9285135ED1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796961" y="0"/>
          <a:ext cx="2177652" cy="1524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1036787</xdr:colOff>
      <xdr:row>0</xdr:row>
      <xdr:rowOff>0</xdr:rowOff>
    </xdr:from>
    <xdr:to>
      <xdr:col>9</xdr:col>
      <xdr:colOff>222526</xdr:colOff>
      <xdr:row>7</xdr:row>
      <xdr:rowOff>174135</xdr:rowOff>
    </xdr:to>
    <xdr:pic>
      <xdr:nvPicPr>
        <xdr:cNvPr id="2" name="Picture 1">
          <a:extLst>
            <a:ext uri="{FF2B5EF4-FFF2-40B4-BE49-F238E27FC236}">
              <a16:creationId xmlns:a16="http://schemas.microsoft.com/office/drawing/2014/main" id="{6E6EE242-4769-4ACE-904B-033EA21887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981137" y="0"/>
          <a:ext cx="2167064" cy="14409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6</xdr:col>
      <xdr:colOff>22366</xdr:colOff>
      <xdr:row>0</xdr:row>
      <xdr:rowOff>0</xdr:rowOff>
    </xdr:from>
    <xdr:ext cx="2299353" cy="1484779"/>
    <xdr:pic>
      <xdr:nvPicPr>
        <xdr:cNvPr id="2" name="Picture 1">
          <a:extLst>
            <a:ext uri="{FF2B5EF4-FFF2-40B4-BE49-F238E27FC236}">
              <a16:creationId xmlns:a16="http://schemas.microsoft.com/office/drawing/2014/main" id="{EDB36DA8-75D7-4378-BEDB-1519EA76DF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613225" y="0"/>
          <a:ext cx="2299353" cy="14847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8</xdr:col>
      <xdr:colOff>762125</xdr:colOff>
      <xdr:row>0</xdr:row>
      <xdr:rowOff>0</xdr:rowOff>
    </xdr:from>
    <xdr:ext cx="3295525" cy="2111644"/>
    <xdr:pic>
      <xdr:nvPicPr>
        <xdr:cNvPr id="2" name="Picture 1">
          <a:extLst>
            <a:ext uri="{FF2B5EF4-FFF2-40B4-BE49-F238E27FC236}">
              <a16:creationId xmlns:a16="http://schemas.microsoft.com/office/drawing/2014/main" id="{F5BDAB02-A0EF-428B-8FC6-97976AC9C6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668875" y="0"/>
          <a:ext cx="3295525" cy="2111644"/>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6</xdr:col>
      <xdr:colOff>473871</xdr:colOff>
      <xdr:row>0</xdr:row>
      <xdr:rowOff>0</xdr:rowOff>
    </xdr:from>
    <xdr:ext cx="2534076" cy="1906701"/>
    <xdr:pic>
      <xdr:nvPicPr>
        <xdr:cNvPr id="2" name="Picture 1">
          <a:extLst>
            <a:ext uri="{FF2B5EF4-FFF2-40B4-BE49-F238E27FC236}">
              <a16:creationId xmlns:a16="http://schemas.microsoft.com/office/drawing/2014/main" id="{394863DC-E24D-4DA7-9003-36C0447FCB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885071" y="0"/>
          <a:ext cx="2534076" cy="190670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inoa\Downloads\Clasificador-del-Objeto-del-Gasto.xlsx" TargetMode="External"/><Relationship Id="rId1" Type="http://schemas.openxmlformats.org/officeDocument/2006/relationships/externalLinkPath" Target="/personal/hduran_siuben_gob_do/Documents/Planificaci&#243;n%20y%20Desarrollo/Plan%20Operativo%20Anual%20(POA)/2024/Direcciones%20y%20Departamentos/Operaciones/Clasificador-del-Objeto-del-Gast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inoa\Downloads\Clasificador-del-Objeto-del-Gasto.xlsx" TargetMode="External"/><Relationship Id="rId1" Type="http://schemas.openxmlformats.org/officeDocument/2006/relationships/externalLinkPath" Target="file:///C:\Users\ninoa\Downloads\Clasificador-del-Objeto-del-Gasto.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ninoa\Downloads\Habilitaci&#243;n%20de%20montos%20dentro%20de%20POA%202024%20(2).xlsx" TargetMode="External"/><Relationship Id="rId1" Type="http://schemas.openxmlformats.org/officeDocument/2006/relationships/externalLinkPath" Target="file:///C:\Users\ninoa\Downloads\Habilitaci&#243;n%20de%20montos%20dentro%20de%20POA%202024%20(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ninoa\Downloads\FORMULACION%202024%20POR%20ACTIVIDAD%20%20%20(1).xlsx" TargetMode="External"/><Relationship Id="rId1" Type="http://schemas.openxmlformats.org/officeDocument/2006/relationships/externalLinkPath" Target="file:///C:\Users\ninoa\Downloads\FORMULACION%202024%20POR%20ACTIVIDAD%20%20%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
    </sheetNames>
    <sheetDataSet>
      <sheetData sheetId="0">
        <row r="590">
          <cell r="A590" t="str">
            <v>2.6.2.1.01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
    </sheetNames>
    <sheetDataSet>
      <sheetData sheetId="0">
        <row r="123">
          <cell r="A123" t="str">
            <v>2.2.3.1.01</v>
          </cell>
        </row>
        <row r="232">
          <cell r="A232" t="str">
            <v>2.2.8.7.04</v>
          </cell>
        </row>
        <row r="234">
          <cell r="A234" t="str">
            <v>2.2.8.7.06</v>
          </cell>
        </row>
        <row r="252">
          <cell r="A252" t="str">
            <v>2.2.9.2.01</v>
          </cell>
        </row>
        <row r="281">
          <cell r="A281" t="str">
            <v>2.3.3.1.01</v>
          </cell>
        </row>
        <row r="375">
          <cell r="A375" t="str">
            <v>2.3.9.2.01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4"/>
    </sheetNames>
    <sheetDataSet>
      <sheetData sheetId="0">
        <row r="5">
          <cell r="D5">
            <v>100000</v>
          </cell>
        </row>
        <row r="6">
          <cell r="D6">
            <v>76960</v>
          </cell>
        </row>
        <row r="8">
          <cell r="D8">
            <v>204963.74</v>
          </cell>
        </row>
        <row r="12">
          <cell r="D12">
            <v>327400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CION"/>
    </sheetNames>
    <sheetDataSet>
      <sheetData sheetId="0">
        <row r="10">
          <cell r="A10" t="str">
            <v> OBJETAL</v>
          </cell>
          <cell r="B10" t="str">
            <v>DENOMINACIÓN</v>
          </cell>
          <cell r="C10" t="str">
            <v>PRESUPUESTO  2023</v>
          </cell>
        </row>
        <row r="11">
          <cell r="A11" t="str">
            <v>2.1.1.1.01</v>
          </cell>
          <cell r="B11" t="str">
            <v>Sueldos fijos</v>
          </cell>
          <cell r="C11">
            <v>146007162</v>
          </cell>
        </row>
        <row r="12">
          <cell r="A12" t="str">
            <v>2.1.1.2.09</v>
          </cell>
          <cell r="B12" t="str">
            <v>Sueldo de carácter eventual</v>
          </cell>
          <cell r="C12">
            <v>6404000</v>
          </cell>
        </row>
        <row r="13">
          <cell r="A13" t="str">
            <v>2.1.2.2.05</v>
          </cell>
          <cell r="B13" t="str">
            <v>Compensación por servicios de seguridad</v>
          </cell>
          <cell r="C13">
            <v>4002000</v>
          </cell>
        </row>
        <row r="14">
          <cell r="A14" t="str">
            <v>2.1.1.4.01</v>
          </cell>
          <cell r="B14" t="str">
            <v>Sueldo anual No. 13</v>
          </cell>
          <cell r="C14">
            <v>13000000</v>
          </cell>
        </row>
        <row r="15">
          <cell r="A15" t="str">
            <v>2.1.1.5.01</v>
          </cell>
          <cell r="B15" t="str">
            <v>Prestaciones Laborales</v>
          </cell>
          <cell r="C15">
            <v>4000000</v>
          </cell>
        </row>
        <row r="16">
          <cell r="A16" t="str">
            <v>2.1.1.5.04</v>
          </cell>
          <cell r="B16" t="str">
            <v>Proporción de vacaciones no disfrutadas</v>
          </cell>
          <cell r="C16">
            <v>800000</v>
          </cell>
        </row>
        <row r="17">
          <cell r="A17" t="str">
            <v>2.1.2.2.06</v>
          </cell>
          <cell r="B17" t="str">
            <v>Incentivo por rendimiento individual</v>
          </cell>
          <cell r="C17">
            <v>12000000</v>
          </cell>
        </row>
        <row r="18">
          <cell r="A18" t="str">
            <v>2.1.2.2.10</v>
          </cell>
          <cell r="B18" t="str">
            <v>Incentivo SISMAP</v>
          </cell>
          <cell r="C18">
            <v>12000000</v>
          </cell>
        </row>
        <row r="19">
          <cell r="A19" t="str">
            <v>2.1.5.1.01</v>
          </cell>
          <cell r="B19" t="str">
            <v>Contribuciones al seguro de salud</v>
          </cell>
          <cell r="C19">
            <v>10720000</v>
          </cell>
        </row>
        <row r="20">
          <cell r="A20" t="str">
            <v>2.1.5.2.01</v>
          </cell>
          <cell r="B20" t="str">
            <v>Contribuciones al seguro de pensiones</v>
          </cell>
          <cell r="C20">
            <v>10854000</v>
          </cell>
        </row>
        <row r="21">
          <cell r="A21" t="str">
            <v>2.1.5.3.01</v>
          </cell>
          <cell r="B21" t="str">
            <v>Contribuciones al seguro de riesgo laboral</v>
          </cell>
          <cell r="C21">
            <v>1325900</v>
          </cell>
        </row>
        <row r="22">
          <cell r="A22"/>
          <cell r="B22" t="str">
            <v>Sub-total</v>
          </cell>
          <cell r="C22">
            <v>221113062</v>
          </cell>
        </row>
        <row r="23">
          <cell r="A23" t="str">
            <v>2.2.1.2.01</v>
          </cell>
          <cell r="B23" t="str">
            <v>Servicio  de larga distancia</v>
          </cell>
          <cell r="C23">
            <v>5000000</v>
          </cell>
        </row>
        <row r="24">
          <cell r="A24" t="str">
            <v>2.2.1.3.01</v>
          </cell>
          <cell r="B24" t="str">
            <v>Teléfono local</v>
          </cell>
          <cell r="C24">
            <v>2200000</v>
          </cell>
        </row>
        <row r="25">
          <cell r="A25" t="str">
            <v>2.2.1.5.01</v>
          </cell>
          <cell r="B25" t="str">
            <v>Servicio de Internet</v>
          </cell>
          <cell r="C25">
            <v>8500000</v>
          </cell>
        </row>
        <row r="26">
          <cell r="A26" t="str">
            <v>2.2.1.6.01</v>
          </cell>
          <cell r="B26" t="str">
            <v>Electricidad</v>
          </cell>
          <cell r="C26">
            <v>7230000</v>
          </cell>
        </row>
        <row r="27">
          <cell r="A27" t="str">
            <v>2.2.1.7.01</v>
          </cell>
          <cell r="B27" t="str">
            <v>Agua</v>
          </cell>
          <cell r="C27">
            <v>100000</v>
          </cell>
        </row>
        <row r="28">
          <cell r="A28" t="str">
            <v>2.2.1.8.01</v>
          </cell>
          <cell r="B28" t="str">
            <v>Residuos sólidos</v>
          </cell>
          <cell r="C28">
            <v>50000</v>
          </cell>
        </row>
        <row r="29">
          <cell r="A29" t="str">
            <v>2.2.2.1.01</v>
          </cell>
          <cell r="B29" t="str">
            <v>Publicidad y propaganda</v>
          </cell>
          <cell r="C29">
            <v>15000</v>
          </cell>
        </row>
        <row r="30">
          <cell r="A30" t="str">
            <v>2.2.2.2.01</v>
          </cell>
          <cell r="B30" t="str">
            <v xml:space="preserve">Impresión y encuadernación </v>
          </cell>
          <cell r="C30">
            <v>500000</v>
          </cell>
        </row>
        <row r="31">
          <cell r="A31" t="str">
            <v>2.2.3.1.01</v>
          </cell>
          <cell r="B31" t="str">
            <v>Viáticos dentro del país</v>
          </cell>
          <cell r="C31">
            <v>4000000</v>
          </cell>
        </row>
        <row r="32">
          <cell r="A32" t="str">
            <v>2.2.3.2.01</v>
          </cell>
          <cell r="B32" t="str">
            <v>Viáticos fuera del país</v>
          </cell>
          <cell r="C32">
            <v>200000</v>
          </cell>
        </row>
        <row r="33">
          <cell r="A33" t="str">
            <v>2.2.4.1.01</v>
          </cell>
          <cell r="B33" t="str">
            <v>Pasajes</v>
          </cell>
          <cell r="C33">
            <v>2670000</v>
          </cell>
        </row>
        <row r="34">
          <cell r="A34" t="str">
            <v>2.2.4.2.01</v>
          </cell>
          <cell r="B34" t="str">
            <v>Fletes</v>
          </cell>
          <cell r="C34">
            <v>30000</v>
          </cell>
        </row>
        <row r="35">
          <cell r="A35" t="str">
            <v>2.2.4.3.01</v>
          </cell>
          <cell r="B35" t="str">
            <v>Almacenaje</v>
          </cell>
          <cell r="C35">
            <v>10000</v>
          </cell>
        </row>
        <row r="36">
          <cell r="A36" t="str">
            <v>2.2.4.4.01</v>
          </cell>
          <cell r="B36" t="str">
            <v>Peaje</v>
          </cell>
          <cell r="C36">
            <v>10000</v>
          </cell>
        </row>
        <row r="37">
          <cell r="A37" t="str">
            <v>2.2.5.1.01</v>
          </cell>
          <cell r="B37" t="str">
            <v>Edificios y locales</v>
          </cell>
          <cell r="C37">
            <v>19279000</v>
          </cell>
        </row>
        <row r="38">
          <cell r="A38" t="str">
            <v>2.2.5.3.01</v>
          </cell>
          <cell r="B38" t="str">
            <v>Alquiler equipo educacional</v>
          </cell>
          <cell r="C38">
            <v>100000</v>
          </cell>
        </row>
        <row r="39">
          <cell r="A39" t="str">
            <v>2.2.5.3.02</v>
          </cell>
          <cell r="B39" t="str">
            <v>Alquiler equipos de tecnología</v>
          </cell>
          <cell r="C39">
            <v>1200000</v>
          </cell>
        </row>
        <row r="40">
          <cell r="A40" t="str">
            <v>2.2.5.3.04</v>
          </cell>
          <cell r="B40" t="str">
            <v>Alquiler equipo de oficina y muebles</v>
          </cell>
          <cell r="C40">
            <v>50000</v>
          </cell>
        </row>
        <row r="41">
          <cell r="A41" t="str">
            <v>2.2.5.4.01</v>
          </cell>
          <cell r="B41" t="str">
            <v>Equipos de transporte</v>
          </cell>
          <cell r="C41">
            <v>500000</v>
          </cell>
        </row>
        <row r="42">
          <cell r="A42" t="str">
            <v>2.2.5.9.01</v>
          </cell>
          <cell r="B42" t="str">
            <v>Licencias informáticas</v>
          </cell>
          <cell r="C42">
            <v>1500000</v>
          </cell>
        </row>
        <row r="43">
          <cell r="A43" t="str">
            <v>2.2.6.1.01</v>
          </cell>
          <cell r="B43" t="str">
            <v>Seguro de bienes inmuebles</v>
          </cell>
          <cell r="C43">
            <v>200000</v>
          </cell>
        </row>
        <row r="44">
          <cell r="A44" t="str">
            <v>2.2.6.2.01</v>
          </cell>
          <cell r="B44" t="str">
            <v>Seguro de bienes muebles</v>
          </cell>
          <cell r="C44">
            <v>800000</v>
          </cell>
        </row>
        <row r="45">
          <cell r="A45" t="str">
            <v>2.2.6.3.01</v>
          </cell>
          <cell r="B45" t="str">
            <v>Seguros de personas</v>
          </cell>
          <cell r="C45">
            <v>12300000</v>
          </cell>
        </row>
        <row r="46">
          <cell r="A46" t="str">
            <v>2.2.7.1.01</v>
          </cell>
          <cell r="B46" t="str">
            <v>Obras menores</v>
          </cell>
          <cell r="C46">
            <v>400000</v>
          </cell>
        </row>
        <row r="47">
          <cell r="A47" t="str">
            <v>2.2.7.2.01</v>
          </cell>
          <cell r="B47" t="str">
            <v>Mantenimiento y reparación equipo muebles y equipos de oficina</v>
          </cell>
          <cell r="C47">
            <v>500000</v>
          </cell>
        </row>
        <row r="48">
          <cell r="A48" t="str">
            <v>2.2.7.2.02</v>
          </cell>
          <cell r="B48" t="str">
            <v>Mantenimiento y reparación equipo para computación</v>
          </cell>
          <cell r="C48">
            <v>2500000</v>
          </cell>
        </row>
        <row r="49">
          <cell r="A49" t="str">
            <v>2.2.7.2.03</v>
          </cell>
          <cell r="B49" t="str">
            <v>Mantenimiento y reparación equipos de comunicación</v>
          </cell>
          <cell r="C49">
            <v>200000</v>
          </cell>
        </row>
        <row r="50">
          <cell r="A50" t="str">
            <v>2.2.7.2.06</v>
          </cell>
          <cell r="B50" t="str">
            <v xml:space="preserve">Mantenimiento y reparación equipos de transporte, tracción </v>
          </cell>
          <cell r="C50">
            <v>1300000</v>
          </cell>
        </row>
        <row r="51">
          <cell r="A51" t="str">
            <v>2.2.8.2.01</v>
          </cell>
          <cell r="B51" t="str">
            <v>Comisiones y gastos bancarios</v>
          </cell>
          <cell r="C51">
            <v>200000</v>
          </cell>
        </row>
        <row r="52">
          <cell r="A52" t="str">
            <v>2.2.8.5.01</v>
          </cell>
          <cell r="B52" t="str">
            <v>Fumigación</v>
          </cell>
          <cell r="C52">
            <v>250000</v>
          </cell>
        </row>
        <row r="53">
          <cell r="A53" t="str">
            <v>2.2.8.5.02</v>
          </cell>
          <cell r="B53" t="str">
            <v>Lavandería</v>
          </cell>
          <cell r="C53">
            <v>250000</v>
          </cell>
        </row>
        <row r="54">
          <cell r="A54" t="str">
            <v>2.2.8.5.03</v>
          </cell>
          <cell r="B54" t="str">
            <v>Limpieza e higiene</v>
          </cell>
          <cell r="C54">
            <v>300000</v>
          </cell>
        </row>
        <row r="55">
          <cell r="A55" t="str">
            <v>2.2.8.6.01</v>
          </cell>
          <cell r="B55" t="str">
            <v>Organización eventos generales</v>
          </cell>
          <cell r="C55">
            <v>47000</v>
          </cell>
        </row>
        <row r="56">
          <cell r="A56" t="str">
            <v>2.2.8.6.02</v>
          </cell>
          <cell r="B56" t="str">
            <v>Festividades</v>
          </cell>
          <cell r="C56">
            <v>300000</v>
          </cell>
        </row>
        <row r="57">
          <cell r="A57" t="str">
            <v>2.2.8.6.03</v>
          </cell>
          <cell r="B57" t="str">
            <v>Actuaciones deportivas</v>
          </cell>
          <cell r="C57">
            <v>0</v>
          </cell>
        </row>
        <row r="58">
          <cell r="A58" t="str">
            <v>2.2.8.7.04</v>
          </cell>
          <cell r="B58" t="str">
            <v>Servicio de capacitación</v>
          </cell>
          <cell r="C58">
            <v>600000</v>
          </cell>
        </row>
        <row r="59">
          <cell r="A59" t="str">
            <v>2.2.8.7.06</v>
          </cell>
          <cell r="B59" t="str">
            <v>Otros Servicios técnicos y profesionales</v>
          </cell>
          <cell r="C59">
            <v>550000</v>
          </cell>
        </row>
        <row r="60">
          <cell r="A60" t="str">
            <v>2.2.8.8.01</v>
          </cell>
          <cell r="B60" t="str">
            <v>Impuestos</v>
          </cell>
          <cell r="C60">
            <v>50000</v>
          </cell>
        </row>
        <row r="61">
          <cell r="A61" t="str">
            <v>2.2.8.8.02</v>
          </cell>
          <cell r="B61" t="str">
            <v xml:space="preserve">Derechos </v>
          </cell>
          <cell r="C61">
            <v>25000</v>
          </cell>
        </row>
        <row r="62">
          <cell r="A62" t="str">
            <v>2.2.8.8.03</v>
          </cell>
          <cell r="B62" t="str">
            <v>Tasas</v>
          </cell>
          <cell r="C62">
            <v>25000</v>
          </cell>
        </row>
        <row r="63">
          <cell r="A63" t="str">
            <v>2.2.9.1.01</v>
          </cell>
          <cell r="B63" t="str">
            <v>Otras contrataciones de servicios</v>
          </cell>
          <cell r="C63">
            <v>500000</v>
          </cell>
        </row>
        <row r="64">
          <cell r="A64" t="str">
            <v>2.2.9.2.01</v>
          </cell>
          <cell r="B64" t="str">
            <v>Servicio de alimentación</v>
          </cell>
          <cell r="C64">
            <v>2300000</v>
          </cell>
        </row>
        <row r="65">
          <cell r="A65" t="str">
            <v>2.2.9.2.03</v>
          </cell>
          <cell r="B65" t="str">
            <v>Servicios de Catering</v>
          </cell>
          <cell r="C65">
            <v>100000</v>
          </cell>
        </row>
        <row r="66">
          <cell r="A66"/>
          <cell r="B66" t="str">
            <v>Sub-total</v>
          </cell>
          <cell r="C66">
            <v>76841000</v>
          </cell>
        </row>
        <row r="67">
          <cell r="A67" t="str">
            <v>2.3.1.1.01</v>
          </cell>
          <cell r="B67" t="str">
            <v>Alimentos y bebidas</v>
          </cell>
          <cell r="C67">
            <v>460000</v>
          </cell>
        </row>
        <row r="68">
          <cell r="A68" t="str">
            <v>2.3.1.3.03</v>
          </cell>
          <cell r="B68" t="str">
            <v xml:space="preserve">Productos forestales </v>
          </cell>
          <cell r="C68">
            <v>205000</v>
          </cell>
        </row>
        <row r="69">
          <cell r="A69" t="str">
            <v>2.3.2.3.01</v>
          </cell>
          <cell r="B69" t="str">
            <v>Prendas de vestir</v>
          </cell>
          <cell r="C69">
            <v>348000</v>
          </cell>
        </row>
        <row r="70">
          <cell r="A70" t="str">
            <v>2.3.2.4.01</v>
          </cell>
          <cell r="B70" t="str">
            <v>Calzados</v>
          </cell>
          <cell r="C70">
            <v>100000</v>
          </cell>
        </row>
        <row r="71">
          <cell r="A71" t="str">
            <v>2.3.3.1.01</v>
          </cell>
          <cell r="B71" t="str">
            <v>Papel de escritorio</v>
          </cell>
          <cell r="C71">
            <v>200000</v>
          </cell>
        </row>
        <row r="72">
          <cell r="A72" t="str">
            <v>2.3.3.2.01</v>
          </cell>
          <cell r="B72" t="str">
            <v>Productos de papel y cartón</v>
          </cell>
          <cell r="C72">
            <v>325000</v>
          </cell>
        </row>
        <row r="73">
          <cell r="A73" t="str">
            <v>2.3.3.3.01</v>
          </cell>
          <cell r="B73" t="str">
            <v xml:space="preserve">Producto de Artes gráficas </v>
          </cell>
          <cell r="C73">
            <v>50000</v>
          </cell>
        </row>
        <row r="74">
          <cell r="A74" t="str">
            <v>2.3.3.4.01</v>
          </cell>
          <cell r="B74" t="str">
            <v>Libros revistas y periódicos</v>
          </cell>
          <cell r="C74">
            <v>50000</v>
          </cell>
        </row>
        <row r="75">
          <cell r="A75" t="str">
            <v>2.3.3.5.01</v>
          </cell>
          <cell r="B75" t="str">
            <v>Texto de enseñanza</v>
          </cell>
          <cell r="C75">
            <v>50000</v>
          </cell>
        </row>
        <row r="76">
          <cell r="A76" t="str">
            <v>2.3.4.1.01</v>
          </cell>
          <cell r="B76" t="str">
            <v>Productos medicinales para uso humano</v>
          </cell>
          <cell r="C76">
            <v>10000</v>
          </cell>
        </row>
        <row r="77">
          <cell r="A77" t="str">
            <v>2.3.5.1.01</v>
          </cell>
          <cell r="B77" t="str">
            <v>Cueros y pieles</v>
          </cell>
          <cell r="C77">
            <v>50000</v>
          </cell>
        </row>
        <row r="78">
          <cell r="A78" t="str">
            <v>2.3.5.2.01</v>
          </cell>
          <cell r="B78" t="str">
            <v>Artículos de cuero</v>
          </cell>
          <cell r="C78">
            <v>50000</v>
          </cell>
        </row>
        <row r="79">
          <cell r="A79" t="str">
            <v>2.3.5.3.01</v>
          </cell>
          <cell r="B79" t="str">
            <v xml:space="preserve">Llantas y neumáticos </v>
          </cell>
          <cell r="C79">
            <v>500000</v>
          </cell>
        </row>
        <row r="80">
          <cell r="A80" t="str">
            <v>2.3.5.4.01</v>
          </cell>
          <cell r="B80" t="str">
            <v>Artículos de Caucho</v>
          </cell>
          <cell r="C80">
            <v>50000</v>
          </cell>
        </row>
        <row r="81">
          <cell r="A81" t="str">
            <v>2.3.5.5.01</v>
          </cell>
          <cell r="B81" t="str">
            <v>Artículos de Plástico</v>
          </cell>
          <cell r="C81">
            <v>50000</v>
          </cell>
        </row>
        <row r="82">
          <cell r="A82" t="str">
            <v>2.3.6.1.01</v>
          </cell>
          <cell r="B82" t="str">
            <v>Productos de cemento</v>
          </cell>
          <cell r="C82">
            <v>25000</v>
          </cell>
        </row>
        <row r="83">
          <cell r="A83" t="str">
            <v>2.3.6.1.02</v>
          </cell>
          <cell r="B83" t="str">
            <v>Productos de cal</v>
          </cell>
          <cell r="C83">
            <v>5000</v>
          </cell>
        </row>
        <row r="84">
          <cell r="A84" t="str">
            <v>2.3.6.1.04</v>
          </cell>
          <cell r="B84" t="str">
            <v>Productos de yeso</v>
          </cell>
          <cell r="C84">
            <v>5000</v>
          </cell>
        </row>
        <row r="85">
          <cell r="A85" t="str">
            <v>2.3.6.1.05</v>
          </cell>
          <cell r="B85" t="str">
            <v>Productos de arcilla y derivados</v>
          </cell>
          <cell r="C85">
            <v>5000</v>
          </cell>
        </row>
        <row r="86">
          <cell r="A86" t="str">
            <v>2.3.6.2.01</v>
          </cell>
          <cell r="B86" t="str">
            <v>Productos de vidrio</v>
          </cell>
          <cell r="C86">
            <v>4678</v>
          </cell>
        </row>
        <row r="87">
          <cell r="A87" t="str">
            <v>2.3.6.2.02</v>
          </cell>
          <cell r="B87" t="str">
            <v>Productos de loza</v>
          </cell>
          <cell r="C87">
            <v>10000</v>
          </cell>
        </row>
        <row r="88">
          <cell r="A88" t="str">
            <v>2.3.6.3.04</v>
          </cell>
          <cell r="B88" t="str">
            <v>Herramientas menores</v>
          </cell>
          <cell r="C88">
            <v>15000</v>
          </cell>
        </row>
        <row r="89">
          <cell r="A89" t="str">
            <v>2.3.6.3.06</v>
          </cell>
          <cell r="B89" t="str">
            <v>Accesorios de metal</v>
          </cell>
          <cell r="C89">
            <v>50000</v>
          </cell>
        </row>
        <row r="90">
          <cell r="A90" t="str">
            <v>2.3.7.1.01</v>
          </cell>
          <cell r="B90" t="str">
            <v>Gasolina</v>
          </cell>
          <cell r="C90">
            <v>10000000</v>
          </cell>
        </row>
        <row r="91">
          <cell r="A91" t="str">
            <v>2.3.7.1.02</v>
          </cell>
          <cell r="B91" t="str">
            <v>Gasoil</v>
          </cell>
          <cell r="C91">
            <v>1500000</v>
          </cell>
        </row>
        <row r="92">
          <cell r="A92" t="str">
            <v>2.3.9.1.01</v>
          </cell>
          <cell r="B92" t="str">
            <v>Materiales de limpieza</v>
          </cell>
          <cell r="C92">
            <v>350000</v>
          </cell>
        </row>
        <row r="93">
          <cell r="A93" t="str">
            <v>2.3.9.2.01</v>
          </cell>
          <cell r="B93" t="str">
            <v>Útiles de escritorio, oficina informática y enseñanza</v>
          </cell>
          <cell r="C93">
            <v>500000</v>
          </cell>
        </row>
        <row r="94">
          <cell r="A94" t="str">
            <v>2.3.9.3.01</v>
          </cell>
          <cell r="B94" t="str">
            <v>Utiles menores médicos - quirurgico</v>
          </cell>
          <cell r="C94">
            <v>50000</v>
          </cell>
        </row>
        <row r="95">
          <cell r="A95" t="str">
            <v>2.3.9.4.01</v>
          </cell>
          <cell r="B95" t="str">
            <v>Útiles destinados a actividades deportivas y recreativas</v>
          </cell>
          <cell r="C95">
            <v>0</v>
          </cell>
        </row>
        <row r="96">
          <cell r="A96" t="str">
            <v>2.3.9.5.01</v>
          </cell>
          <cell r="B96" t="str">
            <v>Útiles de cocina y comedor</v>
          </cell>
          <cell r="C96">
            <v>200000</v>
          </cell>
        </row>
        <row r="97">
          <cell r="A97" t="str">
            <v>2.3.9.6.01</v>
          </cell>
          <cell r="B97" t="str">
            <v>Productos electrónicos y afines</v>
          </cell>
          <cell r="C97">
            <v>300000</v>
          </cell>
        </row>
        <row r="98">
          <cell r="A98" t="str">
            <v>2.3.9.9.01</v>
          </cell>
          <cell r="B98" t="str">
            <v>Productos y utiles varios n.i.p</v>
          </cell>
          <cell r="C98">
            <v>500000</v>
          </cell>
        </row>
        <row r="99">
          <cell r="A99"/>
          <cell r="B99" t="str">
            <v>Sub-total</v>
          </cell>
          <cell r="C99">
            <v>16017678</v>
          </cell>
        </row>
        <row r="100">
          <cell r="A100" t="str">
            <v>2.4.1.2.01</v>
          </cell>
          <cell r="B100" t="str">
            <v>Ayudas y donaciones</v>
          </cell>
          <cell r="C100">
            <v>50000</v>
          </cell>
        </row>
        <row r="101">
          <cell r="A101" t="str">
            <v>2.4.1.4.01</v>
          </cell>
          <cell r="B101" t="str">
            <v>Becas nacionales</v>
          </cell>
          <cell r="C101">
            <v>0</v>
          </cell>
        </row>
        <row r="102">
          <cell r="A102"/>
          <cell r="B102" t="str">
            <v>Sub-total</v>
          </cell>
          <cell r="C102">
            <v>50000</v>
          </cell>
        </row>
        <row r="103">
          <cell r="A103" t="str">
            <v>2.6.1.1.01</v>
          </cell>
          <cell r="B103" t="str">
            <v>Muebles de oficina y estantería</v>
          </cell>
          <cell r="C103">
            <v>1000000</v>
          </cell>
        </row>
        <row r="104">
          <cell r="A104" t="str">
            <v>2.6.1.3.01</v>
          </cell>
          <cell r="B104" t="str">
            <v>Equipo computacional</v>
          </cell>
          <cell r="C104">
            <v>500000</v>
          </cell>
        </row>
        <row r="105">
          <cell r="A105" t="str">
            <v>2.6.1.4.01</v>
          </cell>
          <cell r="B105" t="str">
            <v>Electrodoméstico</v>
          </cell>
          <cell r="C105">
            <v>200000</v>
          </cell>
        </row>
        <row r="106">
          <cell r="A106" t="str">
            <v>2.6.1.9.01</v>
          </cell>
          <cell r="B106" t="str">
            <v xml:space="preserve">Otros Mobiliarios y Equipos </v>
          </cell>
          <cell r="C106">
            <v>200000</v>
          </cell>
        </row>
        <row r="107">
          <cell r="A107" t="str">
            <v>2.6.4.1.01</v>
          </cell>
          <cell r="B107" t="str">
            <v>Equipo de transporte</v>
          </cell>
          <cell r="C107">
            <v>0</v>
          </cell>
        </row>
        <row r="108">
          <cell r="A108" t="str">
            <v>2.6.5.4.02</v>
          </cell>
          <cell r="B108" t="str">
            <v>Equipos de climatización</v>
          </cell>
          <cell r="C108">
            <v>600000</v>
          </cell>
        </row>
        <row r="109">
          <cell r="A109" t="str">
            <v>2.6.5.5.01</v>
          </cell>
          <cell r="B109" t="str">
            <v>Equipo de comunicación</v>
          </cell>
          <cell r="C109">
            <v>100000</v>
          </cell>
        </row>
        <row r="110">
          <cell r="A110" t="str">
            <v>2.6.5.8.01</v>
          </cell>
          <cell r="B110" t="str">
            <v>Otros equipos</v>
          </cell>
          <cell r="C110">
            <v>400000</v>
          </cell>
        </row>
      </sheetData>
    </sheetDataSet>
  </externalBook>
</externalLink>
</file>

<file path=xl/persons/person.xml><?xml version="1.0" encoding="utf-8"?>
<personList xmlns="http://schemas.microsoft.com/office/spreadsheetml/2018/threadedcomments" xmlns:x="http://schemas.openxmlformats.org/spreadsheetml/2006/main">
  <person displayName="Narolin Inoa" id="{36E4FB10-0AFE-467A-8DCF-4F2DCD143248}" userId="S::ninoa@siuben.gob.do::6e72f433-bf14-4e7a-ad01-95f35525eb33" providerId="AD"/>
  <person displayName="Annalisa Staffa" id="{FFAC820A-977A-4791-94B1-149053967DB3}" userId="S::astaffa@siuben.gob.do::a7fe0bc6-58e1-4e1f-a8dd-a8fea8ba253f" providerId="AD"/>
  <person displayName="Yocaurys Beltre" id="{08576056-0939-4EC0-8147-E4F91ADED43E}" userId="S::ybeltre2@siuben.gob.do::e427d21f-a1cc-45f0-92c1-b6907bc3b9d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20" dT="2023-10-02T15:50:31.16" personId="{FFAC820A-977A-4791-94B1-149053967DB3}" id="{180E64F7-8F41-42C5-A41B-896655ACE13A}">
    <text>=(400*4)*56</text>
  </threadedComment>
  <threadedComment ref="S20" dT="2023-10-02T15:51:50.03" personId="{FFAC820A-977A-4791-94B1-149053967DB3}" id="{19E0ED75-D3AF-4F86-AC78-4A58A1EE9183}" parentId="{180E64F7-8F41-42C5-A41B-896655ACE13A}">
    <text xml:space="preserve">400 dólares para capacitación y materiales. Con el apoyo de administracion y finanza para el refrigerio. </text>
  </threadedComment>
</ThreadedComments>
</file>

<file path=xl/threadedComments/threadedComment2.xml><?xml version="1.0" encoding="utf-8"?>
<ThreadedComments xmlns="http://schemas.microsoft.com/office/spreadsheetml/2018/threadedcomments" xmlns:x="http://schemas.openxmlformats.org/spreadsheetml/2006/main">
  <threadedComment ref="G34" dT="2023-09-28T18:10:57.74" personId="{36E4FB10-0AFE-467A-8DCF-4F2DCD143248}" id="{10808B88-9B0F-4925-BCD1-27D489C0AEFB}">
    <text>3 personas consideradas para ir en cada visita, en cada mes se multiplica el costo unitario por la cantidad de visitas a realizar según la planificación.</text>
  </threadedComment>
  <threadedComment ref="H34" dT="2023-10-11T18:41:33.00" personId="{36E4FB10-0AFE-467A-8DCF-4F2DCD143248}" id="{DCF39966-E42B-4A81-8353-33122970B74C}">
    <text>Este costo unitario es la suma de los viáticos de las 3 personas que irían a cada visita, considerandose al Director de Operaciones, una persona del grupo de Profesionales y una persona del grupo de Técnicos.</text>
  </threadedComment>
</ThreadedComments>
</file>

<file path=xl/threadedComments/threadedComment3.xml><?xml version="1.0" encoding="utf-8"?>
<ThreadedComments xmlns="http://schemas.microsoft.com/office/spreadsheetml/2018/threadedcomments" xmlns:x="http://schemas.openxmlformats.org/spreadsheetml/2006/main">
  <threadedComment ref="L24" dT="2024-01-12T13:25:23.18" personId="{36E4FB10-0AFE-467A-8DCF-4F2DCD143248}" id="{D0C99D2B-1372-4F73-8909-663BBDF27733}">
    <text>Monto de contrato pendente 2023.</text>
  </threadedComment>
  <threadedComment ref="D26" dT="2024-01-18T14:45:46.07" personId="{36E4FB10-0AFE-467A-8DCF-4F2DCD143248}" id="{59F1A8E7-6029-4FEE-BF46-E2A4E52C57F4}" done="1">
    <text xml:space="preserve">Paula hizo el siguiente comentario: Ver necesidad en el primer trimestre.
</text>
  </threadedComment>
  <threadedComment ref="D26" dT="2024-01-24T13:35:07.62" personId="{08576056-0939-4EC0-8147-E4F91ADED43E}" id="{E39A7EE3-C02A-424B-A240-137E72FDD57D}" parentId="{59F1A8E7-6029-4FEE-BF46-E2A4E52C57F4}">
    <text>Modificado para los 2 ultimos trimestres del año 2024</text>
  </threadedComment>
  <threadedComment ref="D27" dT="2024-01-24T14:08:22.14" personId="{08576056-0939-4EC0-8147-E4F91ADED43E}" id="{A13985EA-F5BF-486B-AC8A-E0E89DF2F690}">
    <text>Adicionar 28 mil pesos a esta partida de actividad eliminada (Mantenimiento depositos de agua potable)</text>
  </threadedComment>
  <threadedComment ref="J27" dT="2024-01-12T13:24:00.51" personId="{36E4FB10-0AFE-467A-8DCF-4F2DCD143248}" id="{15C49BFD-01C0-4315-819C-9926E9DDF6FD}">
    <text>Monto de contrato pendiente 2023.</text>
  </threadedComment>
  <threadedComment ref="D31" dT="2024-01-18T14:49:42.15" personId="{36E4FB10-0AFE-467A-8DCF-4F2DCD143248}" id="{879B54FC-3B65-44B6-9CBE-C23A42B8251B}" done="1">
    <text xml:space="preserve">Paula hizo el siguiente comentario: Ver monto repetido para esta situación, favor de considerar el desglose para colocar la cuenta correcta según se vaya a trabajar.
</text>
  </threadedComment>
  <threadedComment ref="D31" dT="2024-01-24T13:48:55.47" personId="{08576056-0939-4EC0-8147-E4F91ADED43E}" id="{B3AB9494-1DA2-47DB-884C-954AB9ADD82E}" parentId="{879B54FC-3B65-44B6-9CBE-C23A42B8251B}">
    <text>Cambio actividad, señalización por letrero</text>
  </threadedComment>
  <threadedComment ref="M40" dT="2024-01-12T14:10:00.28" personId="{36E4FB10-0AFE-467A-8DCF-4F2DCD143248}" id="{3AA18A7A-DE63-497E-A7BB-1C81A27BC859}">
    <text>Monto de contrato pendiente 2023.</text>
  </threadedComment>
  <threadedComment ref="D41" dT="2024-01-24T13:32:53.23" personId="{08576056-0939-4EC0-8147-E4F91ADED43E}" id="{47BA2915-78D0-4837-9089-656CD001BC4E}">
    <text>Partida adicionada al haber eliminado los servicios de jardinería</text>
  </threadedComment>
  <threadedComment ref="D45" dT="2024-01-24T13:54:32.04" personId="{08576056-0939-4EC0-8147-E4F91ADED43E}" id="{3EF36D78-34A4-476D-A1B1-7C94AF4A997A}">
    <text>Eliminada actividad de mantenimiento de ascensor y adicionado el monto a esta partida</text>
  </threadedComment>
  <threadedComment ref="N47" dT="2024-01-12T13:22:13.71" personId="{36E4FB10-0AFE-467A-8DCF-4F2DCD143248}" id="{F1F9AA6F-A019-4D7E-8705-7461CD171241}">
    <text>Monto de contrato pendente del 2023.</text>
  </threadedComment>
  <threadedComment ref="D52" dT="2024-01-18T14:59:40.63" personId="{36E4FB10-0AFE-467A-8DCF-4F2DCD143248}" id="{C7F9D9ED-9497-4D82-9FF5-1762CC522529}">
    <text xml:space="preserve">Paula hizo el siguiente comentario:  Validar si esta compra es suficiente para iniciar el año sin controversias. Además necesito listado a editar en el desglose de este monto.
</text>
  </threadedComment>
  <threadedComment ref="D52" dT="2024-01-24T14:00:50.07" personId="{08576056-0939-4EC0-8147-E4F91ADED43E}" id="{C2873333-5C5F-4668-98A8-EA52D003C805}" parentId="{C7F9D9ED-9497-4D82-9FF5-1762CC522529}">
    <text>Aumentada partida con monto de mampara, actividad eliminada</text>
  </threadedComment>
  <threadedComment ref="D52" dT="2024-01-30T20:00:08.17" personId="{36E4FB10-0AFE-467A-8DCF-4F2DCD143248}" id="{2F48BA26-3605-4475-9F6A-9BDE692493AA}" parentId="{C7F9D9ED-9497-4D82-9FF5-1762CC522529}">
    <text>Recordar documentar a Compras el detalle de los insumos que engloba esta partida.</text>
  </threadedComment>
  <threadedComment ref="D53" dT="2024-01-18T15:00:59.02" personId="{36E4FB10-0AFE-467A-8DCF-4F2DCD143248}" id="{5CC24B4F-9DE8-429B-B7FB-36FE4E8D10C9}">
    <text>Paula hizo el siguiente comentario: Validar si esta compra es suficiente para iniciar el año son controversias. Además necesito listado a editar en el desglose de este monto.</text>
  </threadedComment>
  <threadedComment ref="D53" dT="2024-01-24T14:01:00.00" personId="{08576056-0939-4EC0-8147-E4F91ADED43E}" id="{E67D7363-98B7-4C96-B309-6708482353D2}" parentId="{5CC24B4F-9DE8-429B-B7FB-36FE4E8D10C9}">
    <text>Aumentada partida con monto de mampara, actividad eliminada</text>
  </threadedComment>
  <threadedComment ref="D53" dT="2024-01-30T20:00:12.58" personId="{36E4FB10-0AFE-467A-8DCF-4F2DCD143248}" id="{993F3761-5D8C-46E1-B846-25AEDF6736D2}" parentId="{5CC24B4F-9DE8-429B-B7FB-36FE4E8D10C9}">
    <text xml:space="preserve">Recordar documentar a Compras el detalle de los insumos que engloba esta partida.
</text>
  </threadedComment>
  <threadedComment ref="D54" dT="2024-01-18T15:01:28.97" personId="{36E4FB10-0AFE-467A-8DCF-4F2DCD143248}" id="{0383F65B-98EC-4E6F-ADF2-48B0C69222D6}">
    <text xml:space="preserve">Paula hizo el siguiente comentario: Validar si esta compra es suficiente para iniciar el año son controversias. Además necesito listado a editar en el desglose de este monto.
</text>
  </threadedComment>
  <threadedComment ref="D54" dT="2024-01-30T20:00:27.00" personId="{36E4FB10-0AFE-467A-8DCF-4F2DCD143248}" id="{8971E0BA-BCAD-4C49-BA03-399B1B8763BA}" parentId="{0383F65B-98EC-4E6F-ADF2-48B0C69222D6}">
    <text xml:space="preserve">Recordar documentar a Compras el detalle de los insumos que engloba esta partida.
</text>
  </threadedComment>
  <threadedComment ref="D55" dT="2024-01-18T15:12:08.84" personId="{36E4FB10-0AFE-467A-8DCF-4F2DCD143248}" id="{C39315FD-DA3C-4A5F-A262-44B5BEB43128}">
    <text xml:space="preserve">Paula hizo el siguiente comentario: Analizar el gasto de combustible dado que este año solo hemos comprado 
RD$2,657,500.
</text>
  </threadedComment>
  <threadedComment ref="D55" dT="2024-01-18T15:17:52.00" personId="{36E4FB10-0AFE-467A-8DCF-4F2DCD143248}" id="{DF6A2414-09C6-44B7-8A3B-93569FAA051C}" parentId="{C39315FD-DA3C-4A5F-A262-44B5BEB43128}">
    <text xml:space="preserve">Dividí el combustible para que quede diferenciado el presupuesto de la partida de combustible asignado para las operaciones de la institución y del asignado al personal. </text>
  </threadedComment>
  <threadedComment ref="D55" dT="2024-01-18T15:48:16.39" personId="{36E4FB10-0AFE-467A-8DCF-4F2DCD143248}" id="{6BC1FABF-BA8B-4B5E-8BEC-3A8CB5445BA1}" parentId="{C39315FD-DA3C-4A5F-A262-44B5BEB43128}">
    <text>Como el presupuesto anual para el combustibles es por RD$10,500,000.00 y 9MM son para el personal asignado, por lo que resta para las operaciones de la institución es de 1.5MM. Por favor valorar si es necesario aumentar el presupuesto para este insumo.</text>
  </threadedComment>
  <threadedComment ref="L58" dT="2024-01-12T13:27:33.17" personId="{36E4FB10-0AFE-467A-8DCF-4F2DCD143248}" id="{8C4B8DC8-3954-41B7-97F9-304B41AA3E1F}">
    <text>Monto contrato pendiente 2023.</text>
  </threadedComment>
  <threadedComment ref="D59" dT="2024-01-18T15:02:09.24" personId="{36E4FB10-0AFE-467A-8DCF-4F2DCD143248}" id="{B12DB2DB-E7FE-4503-94B3-EF9E3A350C71}" done="1">
    <text xml:space="preserve">Paula hizo la siguiente comentario: Suministrar listado de posibles uniformes
</text>
  </threadedComment>
  <threadedComment ref="D59" dT="2024-01-24T13:39:41.33" personId="{08576056-0939-4EC0-8147-E4F91ADED43E}" id="{516991C3-0430-4E93-AEFD-A24555DB9783}" parentId="{B12DB2DB-E7FE-4503-94B3-EF9E3A350C71}">
    <text>Modificada adquisición de uniformes por servicio de alquiler de escaners</text>
  </threadedComment>
  <threadedComment ref="J60" dT="2024-01-12T13:15:53.65" personId="{36E4FB10-0AFE-467A-8DCF-4F2DCD143248}" id="{B3328E96-4B1D-4DBA-AC9C-7BF82C343774}">
    <text>Monto de contrato pendente del 2023.</text>
  </threadedComment>
</ThreadedComments>
</file>

<file path=xl/threadedComments/threadedComment4.xml><?xml version="1.0" encoding="utf-8"?>
<ThreadedComments xmlns="http://schemas.microsoft.com/office/spreadsheetml/2018/threadedcomments" xmlns:x="http://schemas.openxmlformats.org/spreadsheetml/2006/main">
  <threadedComment ref="K24" dT="2024-01-30T15:15:32.46" personId="{36E4FB10-0AFE-467A-8DCF-4F2DCD143248}" id="{9120733E-DD4B-42B3-86C6-8406BCC0237D}">
    <text>Fuente Plan de Capacitación anual SIUBEN 2024</text>
  </threadedComment>
  <threadedComment ref="N24" dT="2024-01-30T15:16:52.45" personId="{36E4FB10-0AFE-467A-8DCF-4F2DCD143248}" id="{740433AE-8602-4876-A352-26CCB43E1508}">
    <text>Fuente Plan de Capacitación anual SIUBEN 2024</text>
  </threadedComment>
  <threadedComment ref="Q24" dT="2024-01-30T15:16:57.85" personId="{36E4FB10-0AFE-467A-8DCF-4F2DCD143248}" id="{42732D5F-AD4A-42D2-9673-B68F5E6695CF}">
    <text>Fuente Plan de Capacitación anual SIUBEN 2024</text>
  </threadedComment>
  <threadedComment ref="K50" dT="2024-01-12T14:02:15.29" personId="{36E4FB10-0AFE-467A-8DCF-4F2DCD143248}" id="{0D52BB3C-B11A-4444-B172-6D8941011ACD}">
    <text>Monto de contrato pendiente 2023.</text>
  </threadedComment>
  <threadedComment ref="I59" dT="2024-01-12T13:31:33.94" personId="{36E4FB10-0AFE-467A-8DCF-4F2DCD143248}" id="{94D7638A-2B4B-420F-9C36-3AF98273FB39}">
    <text>Monto de contrato pendiente 2023.</text>
  </threadedComment>
  <threadedComment ref="P59" dT="2024-01-12T14:01:58.21" personId="{36E4FB10-0AFE-467A-8DCF-4F2DCD143248}" id="{BDF0EBD1-F6F5-4C37-A6D9-2388B1386C31}">
    <text>Monto de contrato pendiente 2023.</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6.xml"/><Relationship Id="rId1" Type="http://schemas.openxmlformats.org/officeDocument/2006/relationships/printerSettings" Target="../printerSettings/printerSettings1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5.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633E1-236C-4B80-AE57-C924A4B55B0A}">
  <sheetPr codeName="Sheet1"/>
  <dimension ref="A1:Z41"/>
  <sheetViews>
    <sheetView workbookViewId="0">
      <selection sqref="A1:N41"/>
    </sheetView>
  </sheetViews>
  <sheetFormatPr defaultColWidth="8.85546875" defaultRowHeight="15" x14ac:dyDescent="0.25"/>
  <sheetData>
    <row r="1" spans="1:26" x14ac:dyDescent="0.25">
      <c r="A1" s="811" t="s">
        <v>1349</v>
      </c>
      <c r="B1" s="812"/>
      <c r="C1" s="812"/>
      <c r="D1" s="812"/>
      <c r="E1" s="812"/>
      <c r="F1" s="812"/>
      <c r="G1" s="812"/>
      <c r="H1" s="812"/>
      <c r="I1" s="812"/>
      <c r="J1" s="812"/>
      <c r="K1" s="812"/>
      <c r="L1" s="812"/>
      <c r="M1" s="812"/>
      <c r="N1" s="813"/>
      <c r="O1" s="820" t="s">
        <v>663</v>
      </c>
      <c r="P1" s="820"/>
      <c r="Q1" s="820"/>
      <c r="R1" s="820"/>
      <c r="S1" s="820"/>
      <c r="T1" s="820"/>
      <c r="U1" s="820"/>
      <c r="V1" s="820"/>
      <c r="W1" s="820"/>
      <c r="X1" s="820"/>
      <c r="Y1" s="820"/>
      <c r="Z1" s="821"/>
    </row>
    <row r="2" spans="1:26" x14ac:dyDescent="0.25">
      <c r="A2" s="814"/>
      <c r="B2" s="815"/>
      <c r="C2" s="815"/>
      <c r="D2" s="815"/>
      <c r="E2" s="815"/>
      <c r="F2" s="815"/>
      <c r="G2" s="815"/>
      <c r="H2" s="815"/>
      <c r="I2" s="815"/>
      <c r="J2" s="815"/>
      <c r="K2" s="815"/>
      <c r="L2" s="815"/>
      <c r="M2" s="815"/>
      <c r="N2" s="816"/>
      <c r="O2" s="822"/>
      <c r="P2" s="822"/>
      <c r="Q2" s="822"/>
      <c r="R2" s="822"/>
      <c r="S2" s="822"/>
      <c r="T2" s="822"/>
      <c r="U2" s="822"/>
      <c r="V2" s="822"/>
      <c r="W2" s="822"/>
      <c r="X2" s="822"/>
      <c r="Y2" s="822"/>
      <c r="Z2" s="823"/>
    </row>
    <row r="3" spans="1:26" x14ac:dyDescent="0.25">
      <c r="A3" s="814"/>
      <c r="B3" s="815"/>
      <c r="C3" s="815"/>
      <c r="D3" s="815"/>
      <c r="E3" s="815"/>
      <c r="F3" s="815"/>
      <c r="G3" s="815"/>
      <c r="H3" s="815"/>
      <c r="I3" s="815"/>
      <c r="J3" s="815"/>
      <c r="K3" s="815"/>
      <c r="L3" s="815"/>
      <c r="M3" s="815"/>
      <c r="N3" s="816"/>
      <c r="O3" s="822"/>
      <c r="P3" s="822"/>
      <c r="Q3" s="822"/>
      <c r="R3" s="822"/>
      <c r="S3" s="822"/>
      <c r="T3" s="822"/>
      <c r="U3" s="822"/>
      <c r="V3" s="822"/>
      <c r="W3" s="822"/>
      <c r="X3" s="822"/>
      <c r="Y3" s="822"/>
      <c r="Z3" s="823"/>
    </row>
    <row r="4" spans="1:26" x14ac:dyDescent="0.25">
      <c r="A4" s="814"/>
      <c r="B4" s="815"/>
      <c r="C4" s="815"/>
      <c r="D4" s="815"/>
      <c r="E4" s="815"/>
      <c r="F4" s="815"/>
      <c r="G4" s="815"/>
      <c r="H4" s="815"/>
      <c r="I4" s="815"/>
      <c r="J4" s="815"/>
      <c r="K4" s="815"/>
      <c r="L4" s="815"/>
      <c r="M4" s="815"/>
      <c r="N4" s="816"/>
      <c r="O4" s="822"/>
      <c r="P4" s="822"/>
      <c r="Q4" s="822"/>
      <c r="R4" s="822"/>
      <c r="S4" s="822"/>
      <c r="T4" s="822"/>
      <c r="U4" s="822"/>
      <c r="V4" s="822"/>
      <c r="W4" s="822"/>
      <c r="X4" s="822"/>
      <c r="Y4" s="822"/>
      <c r="Z4" s="823"/>
    </row>
    <row r="5" spans="1:26" x14ac:dyDescent="0.25">
      <c r="A5" s="814"/>
      <c r="B5" s="815"/>
      <c r="C5" s="815"/>
      <c r="D5" s="815"/>
      <c r="E5" s="815"/>
      <c r="F5" s="815"/>
      <c r="G5" s="815"/>
      <c r="H5" s="815"/>
      <c r="I5" s="815"/>
      <c r="J5" s="815"/>
      <c r="K5" s="815"/>
      <c r="L5" s="815"/>
      <c r="M5" s="815"/>
      <c r="N5" s="816"/>
      <c r="O5" s="822"/>
      <c r="P5" s="822"/>
      <c r="Q5" s="822"/>
      <c r="R5" s="822"/>
      <c r="S5" s="822"/>
      <c r="T5" s="822"/>
      <c r="U5" s="822"/>
      <c r="V5" s="822"/>
      <c r="W5" s="822"/>
      <c r="X5" s="822"/>
      <c r="Y5" s="822"/>
      <c r="Z5" s="823"/>
    </row>
    <row r="6" spans="1:26" x14ac:dyDescent="0.25">
      <c r="A6" s="814"/>
      <c r="B6" s="815"/>
      <c r="C6" s="815"/>
      <c r="D6" s="815"/>
      <c r="E6" s="815"/>
      <c r="F6" s="815"/>
      <c r="G6" s="815"/>
      <c r="H6" s="815"/>
      <c r="I6" s="815"/>
      <c r="J6" s="815"/>
      <c r="K6" s="815"/>
      <c r="L6" s="815"/>
      <c r="M6" s="815"/>
      <c r="N6" s="816"/>
      <c r="O6" s="822"/>
      <c r="P6" s="822"/>
      <c r="Q6" s="822"/>
      <c r="R6" s="822"/>
      <c r="S6" s="822"/>
      <c r="T6" s="822"/>
      <c r="U6" s="822"/>
      <c r="V6" s="822"/>
      <c r="W6" s="822"/>
      <c r="X6" s="822"/>
      <c r="Y6" s="822"/>
      <c r="Z6" s="823"/>
    </row>
    <row r="7" spans="1:26" x14ac:dyDescent="0.25">
      <c r="A7" s="814"/>
      <c r="B7" s="815"/>
      <c r="C7" s="815"/>
      <c r="D7" s="815"/>
      <c r="E7" s="815"/>
      <c r="F7" s="815"/>
      <c r="G7" s="815"/>
      <c r="H7" s="815"/>
      <c r="I7" s="815"/>
      <c r="J7" s="815"/>
      <c r="K7" s="815"/>
      <c r="L7" s="815"/>
      <c r="M7" s="815"/>
      <c r="N7" s="816"/>
      <c r="O7" s="822"/>
      <c r="P7" s="822"/>
      <c r="Q7" s="822"/>
      <c r="R7" s="822"/>
      <c r="S7" s="822"/>
      <c r="T7" s="822"/>
      <c r="U7" s="822"/>
      <c r="V7" s="822"/>
      <c r="W7" s="822"/>
      <c r="X7" s="822"/>
      <c r="Y7" s="822"/>
      <c r="Z7" s="823"/>
    </row>
    <row r="8" spans="1:26" x14ac:dyDescent="0.25">
      <c r="A8" s="814"/>
      <c r="B8" s="815"/>
      <c r="C8" s="815"/>
      <c r="D8" s="815"/>
      <c r="E8" s="815"/>
      <c r="F8" s="815"/>
      <c r="G8" s="815"/>
      <c r="H8" s="815"/>
      <c r="I8" s="815"/>
      <c r="J8" s="815"/>
      <c r="K8" s="815"/>
      <c r="L8" s="815"/>
      <c r="M8" s="815"/>
      <c r="N8" s="816"/>
      <c r="O8" s="822"/>
      <c r="P8" s="822"/>
      <c r="Q8" s="822"/>
      <c r="R8" s="822"/>
      <c r="S8" s="822"/>
      <c r="T8" s="822"/>
      <c r="U8" s="822"/>
      <c r="V8" s="822"/>
      <c r="W8" s="822"/>
      <c r="X8" s="822"/>
      <c r="Y8" s="822"/>
      <c r="Z8" s="823"/>
    </row>
    <row r="9" spans="1:26" x14ac:dyDescent="0.25">
      <c r="A9" s="814"/>
      <c r="B9" s="815"/>
      <c r="C9" s="815"/>
      <c r="D9" s="815"/>
      <c r="E9" s="815"/>
      <c r="F9" s="815"/>
      <c r="G9" s="815"/>
      <c r="H9" s="815"/>
      <c r="I9" s="815"/>
      <c r="J9" s="815"/>
      <c r="K9" s="815"/>
      <c r="L9" s="815"/>
      <c r="M9" s="815"/>
      <c r="N9" s="816"/>
      <c r="O9" s="822"/>
      <c r="P9" s="822"/>
      <c r="Q9" s="822"/>
      <c r="R9" s="822"/>
      <c r="S9" s="822"/>
      <c r="T9" s="822"/>
      <c r="U9" s="822"/>
      <c r="V9" s="822"/>
      <c r="W9" s="822"/>
      <c r="X9" s="822"/>
      <c r="Y9" s="822"/>
      <c r="Z9" s="823"/>
    </row>
    <row r="10" spans="1:26" x14ac:dyDescent="0.25">
      <c r="A10" s="814"/>
      <c r="B10" s="815"/>
      <c r="C10" s="815"/>
      <c r="D10" s="815"/>
      <c r="E10" s="815"/>
      <c r="F10" s="815"/>
      <c r="G10" s="815"/>
      <c r="H10" s="815"/>
      <c r="I10" s="815"/>
      <c r="J10" s="815"/>
      <c r="K10" s="815"/>
      <c r="L10" s="815"/>
      <c r="M10" s="815"/>
      <c r="N10" s="816"/>
      <c r="O10" s="822"/>
      <c r="P10" s="822"/>
      <c r="Q10" s="822"/>
      <c r="R10" s="822"/>
      <c r="S10" s="822"/>
      <c r="T10" s="822"/>
      <c r="U10" s="822"/>
      <c r="V10" s="822"/>
      <c r="W10" s="822"/>
      <c r="X10" s="822"/>
      <c r="Y10" s="822"/>
      <c r="Z10" s="823"/>
    </row>
    <row r="11" spans="1:26" x14ac:dyDescent="0.25">
      <c r="A11" s="814"/>
      <c r="B11" s="815"/>
      <c r="C11" s="815"/>
      <c r="D11" s="815"/>
      <c r="E11" s="815"/>
      <c r="F11" s="815"/>
      <c r="G11" s="815"/>
      <c r="H11" s="815"/>
      <c r="I11" s="815"/>
      <c r="J11" s="815"/>
      <c r="K11" s="815"/>
      <c r="L11" s="815"/>
      <c r="M11" s="815"/>
      <c r="N11" s="816"/>
      <c r="O11" s="822"/>
      <c r="P11" s="822"/>
      <c r="Q11" s="822"/>
      <c r="R11" s="822"/>
      <c r="S11" s="822"/>
      <c r="T11" s="822"/>
      <c r="U11" s="822"/>
      <c r="V11" s="822"/>
      <c r="W11" s="822"/>
      <c r="X11" s="822"/>
      <c r="Y11" s="822"/>
      <c r="Z11" s="823"/>
    </row>
    <row r="12" spans="1:26" x14ac:dyDescent="0.25">
      <c r="A12" s="814"/>
      <c r="B12" s="815"/>
      <c r="C12" s="815"/>
      <c r="D12" s="815"/>
      <c r="E12" s="815"/>
      <c r="F12" s="815"/>
      <c r="G12" s="815"/>
      <c r="H12" s="815"/>
      <c r="I12" s="815"/>
      <c r="J12" s="815"/>
      <c r="K12" s="815"/>
      <c r="L12" s="815"/>
      <c r="M12" s="815"/>
      <c r="N12" s="816"/>
      <c r="O12" s="822"/>
      <c r="P12" s="822"/>
      <c r="Q12" s="822"/>
      <c r="R12" s="822"/>
      <c r="S12" s="822"/>
      <c r="T12" s="822"/>
      <c r="U12" s="822"/>
      <c r="V12" s="822"/>
      <c r="W12" s="822"/>
      <c r="X12" s="822"/>
      <c r="Y12" s="822"/>
      <c r="Z12" s="823"/>
    </row>
    <row r="13" spans="1:26" x14ac:dyDescent="0.25">
      <c r="A13" s="814"/>
      <c r="B13" s="815"/>
      <c r="C13" s="815"/>
      <c r="D13" s="815"/>
      <c r="E13" s="815"/>
      <c r="F13" s="815"/>
      <c r="G13" s="815"/>
      <c r="H13" s="815"/>
      <c r="I13" s="815"/>
      <c r="J13" s="815"/>
      <c r="K13" s="815"/>
      <c r="L13" s="815"/>
      <c r="M13" s="815"/>
      <c r="N13" s="816"/>
      <c r="O13" s="822"/>
      <c r="P13" s="822"/>
      <c r="Q13" s="822"/>
      <c r="R13" s="822"/>
      <c r="S13" s="822"/>
      <c r="T13" s="822"/>
      <c r="U13" s="822"/>
      <c r="V13" s="822"/>
      <c r="W13" s="822"/>
      <c r="X13" s="822"/>
      <c r="Y13" s="822"/>
      <c r="Z13" s="823"/>
    </row>
    <row r="14" spans="1:26" x14ac:dyDescent="0.25">
      <c r="A14" s="814"/>
      <c r="B14" s="815"/>
      <c r="C14" s="815"/>
      <c r="D14" s="815"/>
      <c r="E14" s="815"/>
      <c r="F14" s="815"/>
      <c r="G14" s="815"/>
      <c r="H14" s="815"/>
      <c r="I14" s="815"/>
      <c r="J14" s="815"/>
      <c r="K14" s="815"/>
      <c r="L14" s="815"/>
      <c r="M14" s="815"/>
      <c r="N14" s="816"/>
      <c r="O14" s="822"/>
      <c r="P14" s="822"/>
      <c r="Q14" s="822"/>
      <c r="R14" s="822"/>
      <c r="S14" s="822"/>
      <c r="T14" s="822"/>
      <c r="U14" s="822"/>
      <c r="V14" s="822"/>
      <c r="W14" s="822"/>
      <c r="X14" s="822"/>
      <c r="Y14" s="822"/>
      <c r="Z14" s="823"/>
    </row>
    <row r="15" spans="1:26" x14ac:dyDescent="0.25">
      <c r="A15" s="814"/>
      <c r="B15" s="815"/>
      <c r="C15" s="815"/>
      <c r="D15" s="815"/>
      <c r="E15" s="815"/>
      <c r="F15" s="815"/>
      <c r="G15" s="815"/>
      <c r="H15" s="815"/>
      <c r="I15" s="815"/>
      <c r="J15" s="815"/>
      <c r="K15" s="815"/>
      <c r="L15" s="815"/>
      <c r="M15" s="815"/>
      <c r="N15" s="816"/>
      <c r="O15" s="822"/>
      <c r="P15" s="822"/>
      <c r="Q15" s="822"/>
      <c r="R15" s="822"/>
      <c r="S15" s="822"/>
      <c r="T15" s="822"/>
      <c r="U15" s="822"/>
      <c r="V15" s="822"/>
      <c r="W15" s="822"/>
      <c r="X15" s="822"/>
      <c r="Y15" s="822"/>
      <c r="Z15" s="823"/>
    </row>
    <row r="16" spans="1:26" x14ac:dyDescent="0.25">
      <c r="A16" s="814"/>
      <c r="B16" s="815"/>
      <c r="C16" s="815"/>
      <c r="D16" s="815"/>
      <c r="E16" s="815"/>
      <c r="F16" s="815"/>
      <c r="G16" s="815"/>
      <c r="H16" s="815"/>
      <c r="I16" s="815"/>
      <c r="J16" s="815"/>
      <c r="K16" s="815"/>
      <c r="L16" s="815"/>
      <c r="M16" s="815"/>
      <c r="N16" s="816"/>
      <c r="O16" s="822"/>
      <c r="P16" s="822"/>
      <c r="Q16" s="822"/>
      <c r="R16" s="822"/>
      <c r="S16" s="822"/>
      <c r="T16" s="822"/>
      <c r="U16" s="822"/>
      <c r="V16" s="822"/>
      <c r="W16" s="822"/>
      <c r="X16" s="822"/>
      <c r="Y16" s="822"/>
      <c r="Z16" s="823"/>
    </row>
    <row r="17" spans="1:26" x14ac:dyDescent="0.25">
      <c r="A17" s="814"/>
      <c r="B17" s="815"/>
      <c r="C17" s="815"/>
      <c r="D17" s="815"/>
      <c r="E17" s="815"/>
      <c r="F17" s="815"/>
      <c r="G17" s="815"/>
      <c r="H17" s="815"/>
      <c r="I17" s="815"/>
      <c r="J17" s="815"/>
      <c r="K17" s="815"/>
      <c r="L17" s="815"/>
      <c r="M17" s="815"/>
      <c r="N17" s="816"/>
      <c r="O17" s="822"/>
      <c r="P17" s="822"/>
      <c r="Q17" s="822"/>
      <c r="R17" s="822"/>
      <c r="S17" s="822"/>
      <c r="T17" s="822"/>
      <c r="U17" s="822"/>
      <c r="V17" s="822"/>
      <c r="W17" s="822"/>
      <c r="X17" s="822"/>
      <c r="Y17" s="822"/>
      <c r="Z17" s="823"/>
    </row>
    <row r="18" spans="1:26" x14ac:dyDescent="0.25">
      <c r="A18" s="814"/>
      <c r="B18" s="815"/>
      <c r="C18" s="815"/>
      <c r="D18" s="815"/>
      <c r="E18" s="815"/>
      <c r="F18" s="815"/>
      <c r="G18" s="815"/>
      <c r="H18" s="815"/>
      <c r="I18" s="815"/>
      <c r="J18" s="815"/>
      <c r="K18" s="815"/>
      <c r="L18" s="815"/>
      <c r="M18" s="815"/>
      <c r="N18" s="816"/>
      <c r="O18" s="822"/>
      <c r="P18" s="822"/>
      <c r="Q18" s="822"/>
      <c r="R18" s="822"/>
      <c r="S18" s="822"/>
      <c r="T18" s="822"/>
      <c r="U18" s="822"/>
      <c r="V18" s="822"/>
      <c r="W18" s="822"/>
      <c r="X18" s="822"/>
      <c r="Y18" s="822"/>
      <c r="Z18" s="823"/>
    </row>
    <row r="19" spans="1:26" x14ac:dyDescent="0.25">
      <c r="A19" s="814"/>
      <c r="B19" s="815"/>
      <c r="C19" s="815"/>
      <c r="D19" s="815"/>
      <c r="E19" s="815"/>
      <c r="F19" s="815"/>
      <c r="G19" s="815"/>
      <c r="H19" s="815"/>
      <c r="I19" s="815"/>
      <c r="J19" s="815"/>
      <c r="K19" s="815"/>
      <c r="L19" s="815"/>
      <c r="M19" s="815"/>
      <c r="N19" s="816"/>
      <c r="O19" s="822"/>
      <c r="P19" s="822"/>
      <c r="Q19" s="822"/>
      <c r="R19" s="822"/>
      <c r="S19" s="822"/>
      <c r="T19" s="822"/>
      <c r="U19" s="822"/>
      <c r="V19" s="822"/>
      <c r="W19" s="822"/>
      <c r="X19" s="822"/>
      <c r="Y19" s="822"/>
      <c r="Z19" s="823"/>
    </row>
    <row r="20" spans="1:26" x14ac:dyDescent="0.25">
      <c r="A20" s="814"/>
      <c r="B20" s="815"/>
      <c r="C20" s="815"/>
      <c r="D20" s="815"/>
      <c r="E20" s="815"/>
      <c r="F20" s="815"/>
      <c r="G20" s="815"/>
      <c r="H20" s="815"/>
      <c r="I20" s="815"/>
      <c r="J20" s="815"/>
      <c r="K20" s="815"/>
      <c r="L20" s="815"/>
      <c r="M20" s="815"/>
      <c r="N20" s="816"/>
      <c r="O20" s="822"/>
      <c r="P20" s="822"/>
      <c r="Q20" s="822"/>
      <c r="R20" s="822"/>
      <c r="S20" s="822"/>
      <c r="T20" s="822"/>
      <c r="U20" s="822"/>
      <c r="V20" s="822"/>
      <c r="W20" s="822"/>
      <c r="X20" s="822"/>
      <c r="Y20" s="822"/>
      <c r="Z20" s="823"/>
    </row>
    <row r="21" spans="1:26" x14ac:dyDescent="0.25">
      <c r="A21" s="814"/>
      <c r="B21" s="815"/>
      <c r="C21" s="815"/>
      <c r="D21" s="815"/>
      <c r="E21" s="815"/>
      <c r="F21" s="815"/>
      <c r="G21" s="815"/>
      <c r="H21" s="815"/>
      <c r="I21" s="815"/>
      <c r="J21" s="815"/>
      <c r="K21" s="815"/>
      <c r="L21" s="815"/>
      <c r="M21" s="815"/>
      <c r="N21" s="816"/>
      <c r="O21" s="822"/>
      <c r="P21" s="822"/>
      <c r="Q21" s="822"/>
      <c r="R21" s="822"/>
      <c r="S21" s="822"/>
      <c r="T21" s="822"/>
      <c r="U21" s="822"/>
      <c r="V21" s="822"/>
      <c r="W21" s="822"/>
      <c r="X21" s="822"/>
      <c r="Y21" s="822"/>
      <c r="Z21" s="823"/>
    </row>
    <row r="22" spans="1:26" x14ac:dyDescent="0.25">
      <c r="A22" s="814"/>
      <c r="B22" s="815"/>
      <c r="C22" s="815"/>
      <c r="D22" s="815"/>
      <c r="E22" s="815"/>
      <c r="F22" s="815"/>
      <c r="G22" s="815"/>
      <c r="H22" s="815"/>
      <c r="I22" s="815"/>
      <c r="J22" s="815"/>
      <c r="K22" s="815"/>
      <c r="L22" s="815"/>
      <c r="M22" s="815"/>
      <c r="N22" s="816"/>
      <c r="O22" s="822"/>
      <c r="P22" s="822"/>
      <c r="Q22" s="822"/>
      <c r="R22" s="822"/>
      <c r="S22" s="822"/>
      <c r="T22" s="822"/>
      <c r="U22" s="822"/>
      <c r="V22" s="822"/>
      <c r="W22" s="822"/>
      <c r="X22" s="822"/>
      <c r="Y22" s="822"/>
      <c r="Z22" s="823"/>
    </row>
    <row r="23" spans="1:26" x14ac:dyDescent="0.25">
      <c r="A23" s="814"/>
      <c r="B23" s="815"/>
      <c r="C23" s="815"/>
      <c r="D23" s="815"/>
      <c r="E23" s="815"/>
      <c r="F23" s="815"/>
      <c r="G23" s="815"/>
      <c r="H23" s="815"/>
      <c r="I23" s="815"/>
      <c r="J23" s="815"/>
      <c r="K23" s="815"/>
      <c r="L23" s="815"/>
      <c r="M23" s="815"/>
      <c r="N23" s="816"/>
      <c r="O23" s="822"/>
      <c r="P23" s="822"/>
      <c r="Q23" s="822"/>
      <c r="R23" s="822"/>
      <c r="S23" s="822"/>
      <c r="T23" s="822"/>
      <c r="U23" s="822"/>
      <c r="V23" s="822"/>
      <c r="W23" s="822"/>
      <c r="X23" s="822"/>
      <c r="Y23" s="822"/>
      <c r="Z23" s="823"/>
    </row>
    <row r="24" spans="1:26" x14ac:dyDescent="0.25">
      <c r="A24" s="814"/>
      <c r="B24" s="815"/>
      <c r="C24" s="815"/>
      <c r="D24" s="815"/>
      <c r="E24" s="815"/>
      <c r="F24" s="815"/>
      <c r="G24" s="815"/>
      <c r="H24" s="815"/>
      <c r="I24" s="815"/>
      <c r="J24" s="815"/>
      <c r="K24" s="815"/>
      <c r="L24" s="815"/>
      <c r="M24" s="815"/>
      <c r="N24" s="816"/>
      <c r="O24" s="822"/>
      <c r="P24" s="822"/>
      <c r="Q24" s="822"/>
      <c r="R24" s="822"/>
      <c r="S24" s="822"/>
      <c r="T24" s="822"/>
      <c r="U24" s="822"/>
      <c r="V24" s="822"/>
      <c r="W24" s="822"/>
      <c r="X24" s="822"/>
      <c r="Y24" s="822"/>
      <c r="Z24" s="823"/>
    </row>
    <row r="25" spans="1:26" x14ac:dyDescent="0.25">
      <c r="A25" s="814"/>
      <c r="B25" s="815"/>
      <c r="C25" s="815"/>
      <c r="D25" s="815"/>
      <c r="E25" s="815"/>
      <c r="F25" s="815"/>
      <c r="G25" s="815"/>
      <c r="H25" s="815"/>
      <c r="I25" s="815"/>
      <c r="J25" s="815"/>
      <c r="K25" s="815"/>
      <c r="L25" s="815"/>
      <c r="M25" s="815"/>
      <c r="N25" s="816"/>
      <c r="O25" s="822"/>
      <c r="P25" s="822"/>
      <c r="Q25" s="822"/>
      <c r="R25" s="822"/>
      <c r="S25" s="822"/>
      <c r="T25" s="822"/>
      <c r="U25" s="822"/>
      <c r="V25" s="822"/>
      <c r="W25" s="822"/>
      <c r="X25" s="822"/>
      <c r="Y25" s="822"/>
      <c r="Z25" s="823"/>
    </row>
    <row r="26" spans="1:26" x14ac:dyDescent="0.25">
      <c r="A26" s="814"/>
      <c r="B26" s="815"/>
      <c r="C26" s="815"/>
      <c r="D26" s="815"/>
      <c r="E26" s="815"/>
      <c r="F26" s="815"/>
      <c r="G26" s="815"/>
      <c r="H26" s="815"/>
      <c r="I26" s="815"/>
      <c r="J26" s="815"/>
      <c r="K26" s="815"/>
      <c r="L26" s="815"/>
      <c r="M26" s="815"/>
      <c r="N26" s="816"/>
      <c r="O26" s="822"/>
      <c r="P26" s="822"/>
      <c r="Q26" s="822"/>
      <c r="R26" s="822"/>
      <c r="S26" s="822"/>
      <c r="T26" s="822"/>
      <c r="U26" s="822"/>
      <c r="V26" s="822"/>
      <c r="W26" s="822"/>
      <c r="X26" s="822"/>
      <c r="Y26" s="822"/>
      <c r="Z26" s="823"/>
    </row>
    <row r="27" spans="1:26" x14ac:dyDescent="0.25">
      <c r="A27" s="814"/>
      <c r="B27" s="815"/>
      <c r="C27" s="815"/>
      <c r="D27" s="815"/>
      <c r="E27" s="815"/>
      <c r="F27" s="815"/>
      <c r="G27" s="815"/>
      <c r="H27" s="815"/>
      <c r="I27" s="815"/>
      <c r="J27" s="815"/>
      <c r="K27" s="815"/>
      <c r="L27" s="815"/>
      <c r="M27" s="815"/>
      <c r="N27" s="816"/>
      <c r="O27" s="822"/>
      <c r="P27" s="822"/>
      <c r="Q27" s="822"/>
      <c r="R27" s="822"/>
      <c r="S27" s="822"/>
      <c r="T27" s="822"/>
      <c r="U27" s="822"/>
      <c r="V27" s="822"/>
      <c r="W27" s="822"/>
      <c r="X27" s="822"/>
      <c r="Y27" s="822"/>
      <c r="Z27" s="823"/>
    </row>
    <row r="28" spans="1:26" x14ac:dyDescent="0.25">
      <c r="A28" s="814"/>
      <c r="B28" s="815"/>
      <c r="C28" s="815"/>
      <c r="D28" s="815"/>
      <c r="E28" s="815"/>
      <c r="F28" s="815"/>
      <c r="G28" s="815"/>
      <c r="H28" s="815"/>
      <c r="I28" s="815"/>
      <c r="J28" s="815"/>
      <c r="K28" s="815"/>
      <c r="L28" s="815"/>
      <c r="M28" s="815"/>
      <c r="N28" s="816"/>
      <c r="O28" s="822"/>
      <c r="P28" s="822"/>
      <c r="Q28" s="822"/>
      <c r="R28" s="822"/>
      <c r="S28" s="822"/>
      <c r="T28" s="822"/>
      <c r="U28" s="822"/>
      <c r="V28" s="822"/>
      <c r="W28" s="822"/>
      <c r="X28" s="822"/>
      <c r="Y28" s="822"/>
      <c r="Z28" s="823"/>
    </row>
    <row r="29" spans="1:26" x14ac:dyDescent="0.25">
      <c r="A29" s="814"/>
      <c r="B29" s="815"/>
      <c r="C29" s="815"/>
      <c r="D29" s="815"/>
      <c r="E29" s="815"/>
      <c r="F29" s="815"/>
      <c r="G29" s="815"/>
      <c r="H29" s="815"/>
      <c r="I29" s="815"/>
      <c r="J29" s="815"/>
      <c r="K29" s="815"/>
      <c r="L29" s="815"/>
      <c r="M29" s="815"/>
      <c r="N29" s="816"/>
      <c r="O29" s="822"/>
      <c r="P29" s="822"/>
      <c r="Q29" s="822"/>
      <c r="R29" s="822"/>
      <c r="S29" s="822"/>
      <c r="T29" s="822"/>
      <c r="U29" s="822"/>
      <c r="V29" s="822"/>
      <c r="W29" s="822"/>
      <c r="X29" s="822"/>
      <c r="Y29" s="822"/>
      <c r="Z29" s="823"/>
    </row>
    <row r="30" spans="1:26" x14ac:dyDescent="0.25">
      <c r="A30" s="814"/>
      <c r="B30" s="815"/>
      <c r="C30" s="815"/>
      <c r="D30" s="815"/>
      <c r="E30" s="815"/>
      <c r="F30" s="815"/>
      <c r="G30" s="815"/>
      <c r="H30" s="815"/>
      <c r="I30" s="815"/>
      <c r="J30" s="815"/>
      <c r="K30" s="815"/>
      <c r="L30" s="815"/>
      <c r="M30" s="815"/>
      <c r="N30" s="816"/>
      <c r="O30" s="822"/>
      <c r="P30" s="822"/>
      <c r="Q30" s="822"/>
      <c r="R30" s="822"/>
      <c r="S30" s="822"/>
      <c r="T30" s="822"/>
      <c r="U30" s="822"/>
      <c r="V30" s="822"/>
      <c r="W30" s="822"/>
      <c r="X30" s="822"/>
      <c r="Y30" s="822"/>
      <c r="Z30" s="823"/>
    </row>
    <row r="31" spans="1:26" x14ac:dyDescent="0.25">
      <c r="A31" s="814"/>
      <c r="B31" s="815"/>
      <c r="C31" s="815"/>
      <c r="D31" s="815"/>
      <c r="E31" s="815"/>
      <c r="F31" s="815"/>
      <c r="G31" s="815"/>
      <c r="H31" s="815"/>
      <c r="I31" s="815"/>
      <c r="J31" s="815"/>
      <c r="K31" s="815"/>
      <c r="L31" s="815"/>
      <c r="M31" s="815"/>
      <c r="N31" s="816"/>
      <c r="O31" s="822"/>
      <c r="P31" s="822"/>
      <c r="Q31" s="822"/>
      <c r="R31" s="822"/>
      <c r="S31" s="822"/>
      <c r="T31" s="822"/>
      <c r="U31" s="822"/>
      <c r="V31" s="822"/>
      <c r="W31" s="822"/>
      <c r="X31" s="822"/>
      <c r="Y31" s="822"/>
      <c r="Z31" s="823"/>
    </row>
    <row r="32" spans="1:26" x14ac:dyDescent="0.25">
      <c r="A32" s="814"/>
      <c r="B32" s="815"/>
      <c r="C32" s="815"/>
      <c r="D32" s="815"/>
      <c r="E32" s="815"/>
      <c r="F32" s="815"/>
      <c r="G32" s="815"/>
      <c r="H32" s="815"/>
      <c r="I32" s="815"/>
      <c r="J32" s="815"/>
      <c r="K32" s="815"/>
      <c r="L32" s="815"/>
      <c r="M32" s="815"/>
      <c r="N32" s="816"/>
      <c r="O32" s="822"/>
      <c r="P32" s="822"/>
      <c r="Q32" s="822"/>
      <c r="R32" s="822"/>
      <c r="S32" s="822"/>
      <c r="T32" s="822"/>
      <c r="U32" s="822"/>
      <c r="V32" s="822"/>
      <c r="W32" s="822"/>
      <c r="X32" s="822"/>
      <c r="Y32" s="822"/>
      <c r="Z32" s="823"/>
    </row>
    <row r="33" spans="1:26" x14ac:dyDescent="0.25">
      <c r="A33" s="814"/>
      <c r="B33" s="815"/>
      <c r="C33" s="815"/>
      <c r="D33" s="815"/>
      <c r="E33" s="815"/>
      <c r="F33" s="815"/>
      <c r="G33" s="815"/>
      <c r="H33" s="815"/>
      <c r="I33" s="815"/>
      <c r="J33" s="815"/>
      <c r="K33" s="815"/>
      <c r="L33" s="815"/>
      <c r="M33" s="815"/>
      <c r="N33" s="816"/>
      <c r="O33" s="822"/>
      <c r="P33" s="822"/>
      <c r="Q33" s="822"/>
      <c r="R33" s="822"/>
      <c r="S33" s="822"/>
      <c r="T33" s="822"/>
      <c r="U33" s="822"/>
      <c r="V33" s="822"/>
      <c r="W33" s="822"/>
      <c r="X33" s="822"/>
      <c r="Y33" s="822"/>
      <c r="Z33" s="823"/>
    </row>
    <row r="34" spans="1:26" x14ac:dyDescent="0.25">
      <c r="A34" s="814"/>
      <c r="B34" s="815"/>
      <c r="C34" s="815"/>
      <c r="D34" s="815"/>
      <c r="E34" s="815"/>
      <c r="F34" s="815"/>
      <c r="G34" s="815"/>
      <c r="H34" s="815"/>
      <c r="I34" s="815"/>
      <c r="J34" s="815"/>
      <c r="K34" s="815"/>
      <c r="L34" s="815"/>
      <c r="M34" s="815"/>
      <c r="N34" s="816"/>
      <c r="O34" s="822"/>
      <c r="P34" s="822"/>
      <c r="Q34" s="822"/>
      <c r="R34" s="822"/>
      <c r="S34" s="822"/>
      <c r="T34" s="822"/>
      <c r="U34" s="822"/>
      <c r="V34" s="822"/>
      <c r="W34" s="822"/>
      <c r="X34" s="822"/>
      <c r="Y34" s="822"/>
      <c r="Z34" s="823"/>
    </row>
    <row r="35" spans="1:26" x14ac:dyDescent="0.25">
      <c r="A35" s="814"/>
      <c r="B35" s="815"/>
      <c r="C35" s="815"/>
      <c r="D35" s="815"/>
      <c r="E35" s="815"/>
      <c r="F35" s="815"/>
      <c r="G35" s="815"/>
      <c r="H35" s="815"/>
      <c r="I35" s="815"/>
      <c r="J35" s="815"/>
      <c r="K35" s="815"/>
      <c r="L35" s="815"/>
      <c r="M35" s="815"/>
      <c r="N35" s="816"/>
      <c r="O35" s="822"/>
      <c r="P35" s="822"/>
      <c r="Q35" s="822"/>
      <c r="R35" s="822"/>
      <c r="S35" s="822"/>
      <c r="T35" s="822"/>
      <c r="U35" s="822"/>
      <c r="V35" s="822"/>
      <c r="W35" s="822"/>
      <c r="X35" s="822"/>
      <c r="Y35" s="822"/>
      <c r="Z35" s="823"/>
    </row>
    <row r="36" spans="1:26" x14ac:dyDescent="0.25">
      <c r="A36" s="814"/>
      <c r="B36" s="815"/>
      <c r="C36" s="815"/>
      <c r="D36" s="815"/>
      <c r="E36" s="815"/>
      <c r="F36" s="815"/>
      <c r="G36" s="815"/>
      <c r="H36" s="815"/>
      <c r="I36" s="815"/>
      <c r="J36" s="815"/>
      <c r="K36" s="815"/>
      <c r="L36" s="815"/>
      <c r="M36" s="815"/>
      <c r="N36" s="816"/>
      <c r="O36" s="822"/>
      <c r="P36" s="822"/>
      <c r="Q36" s="822"/>
      <c r="R36" s="822"/>
      <c r="S36" s="822"/>
      <c r="T36" s="822"/>
      <c r="U36" s="822"/>
      <c r="V36" s="822"/>
      <c r="W36" s="822"/>
      <c r="X36" s="822"/>
      <c r="Y36" s="822"/>
      <c r="Z36" s="823"/>
    </row>
    <row r="37" spans="1:26" x14ac:dyDescent="0.25">
      <c r="A37" s="814"/>
      <c r="B37" s="815"/>
      <c r="C37" s="815"/>
      <c r="D37" s="815"/>
      <c r="E37" s="815"/>
      <c r="F37" s="815"/>
      <c r="G37" s="815"/>
      <c r="H37" s="815"/>
      <c r="I37" s="815"/>
      <c r="J37" s="815"/>
      <c r="K37" s="815"/>
      <c r="L37" s="815"/>
      <c r="M37" s="815"/>
      <c r="N37" s="816"/>
      <c r="O37" s="822"/>
      <c r="P37" s="822"/>
      <c r="Q37" s="822"/>
      <c r="R37" s="822"/>
      <c r="S37" s="822"/>
      <c r="T37" s="822"/>
      <c r="U37" s="822"/>
      <c r="V37" s="822"/>
      <c r="W37" s="822"/>
      <c r="X37" s="822"/>
      <c r="Y37" s="822"/>
      <c r="Z37" s="823"/>
    </row>
    <row r="38" spans="1:26" x14ac:dyDescent="0.25">
      <c r="A38" s="814"/>
      <c r="B38" s="815"/>
      <c r="C38" s="815"/>
      <c r="D38" s="815"/>
      <c r="E38" s="815"/>
      <c r="F38" s="815"/>
      <c r="G38" s="815"/>
      <c r="H38" s="815"/>
      <c r="I38" s="815"/>
      <c r="J38" s="815"/>
      <c r="K38" s="815"/>
      <c r="L38" s="815"/>
      <c r="M38" s="815"/>
      <c r="N38" s="816"/>
      <c r="O38" s="822"/>
      <c r="P38" s="822"/>
      <c r="Q38" s="822"/>
      <c r="R38" s="822"/>
      <c r="S38" s="822"/>
      <c r="T38" s="822"/>
      <c r="U38" s="822"/>
      <c r="V38" s="822"/>
      <c r="W38" s="822"/>
      <c r="X38" s="822"/>
      <c r="Y38" s="822"/>
      <c r="Z38" s="823"/>
    </row>
    <row r="39" spans="1:26" x14ac:dyDescent="0.25">
      <c r="A39" s="814"/>
      <c r="B39" s="815"/>
      <c r="C39" s="815"/>
      <c r="D39" s="815"/>
      <c r="E39" s="815"/>
      <c r="F39" s="815"/>
      <c r="G39" s="815"/>
      <c r="H39" s="815"/>
      <c r="I39" s="815"/>
      <c r="J39" s="815"/>
      <c r="K39" s="815"/>
      <c r="L39" s="815"/>
      <c r="M39" s="815"/>
      <c r="N39" s="816"/>
      <c r="O39" s="822"/>
      <c r="P39" s="822"/>
      <c r="Q39" s="822"/>
      <c r="R39" s="822"/>
      <c r="S39" s="822"/>
      <c r="T39" s="822"/>
      <c r="U39" s="822"/>
      <c r="V39" s="822"/>
      <c r="W39" s="822"/>
      <c r="X39" s="822"/>
      <c r="Y39" s="822"/>
      <c r="Z39" s="823"/>
    </row>
    <row r="40" spans="1:26" x14ac:dyDescent="0.25">
      <c r="A40" s="814"/>
      <c r="B40" s="815"/>
      <c r="C40" s="815"/>
      <c r="D40" s="815"/>
      <c r="E40" s="815"/>
      <c r="F40" s="815"/>
      <c r="G40" s="815"/>
      <c r="H40" s="815"/>
      <c r="I40" s="815"/>
      <c r="J40" s="815"/>
      <c r="K40" s="815"/>
      <c r="L40" s="815"/>
      <c r="M40" s="815"/>
      <c r="N40" s="816"/>
      <c r="O40" s="822"/>
      <c r="P40" s="822"/>
      <c r="Q40" s="822"/>
      <c r="R40" s="822"/>
      <c r="S40" s="822"/>
      <c r="T40" s="822"/>
      <c r="U40" s="822"/>
      <c r="V40" s="822"/>
      <c r="W40" s="822"/>
      <c r="X40" s="822"/>
      <c r="Y40" s="822"/>
      <c r="Z40" s="823"/>
    </row>
    <row r="41" spans="1:26" ht="15.75" thickBot="1" x14ac:dyDescent="0.3">
      <c r="A41" s="817"/>
      <c r="B41" s="818"/>
      <c r="C41" s="818"/>
      <c r="D41" s="818"/>
      <c r="E41" s="818"/>
      <c r="F41" s="818"/>
      <c r="G41" s="818"/>
      <c r="H41" s="818"/>
      <c r="I41" s="818"/>
      <c r="J41" s="818"/>
      <c r="K41" s="818"/>
      <c r="L41" s="818"/>
      <c r="M41" s="818"/>
      <c r="N41" s="819"/>
      <c r="O41" s="824"/>
      <c r="P41" s="824"/>
      <c r="Q41" s="824"/>
      <c r="R41" s="824"/>
      <c r="S41" s="824"/>
      <c r="T41" s="824"/>
      <c r="U41" s="824"/>
      <c r="V41" s="824"/>
      <c r="W41" s="824"/>
      <c r="X41" s="824"/>
      <c r="Y41" s="824"/>
      <c r="Z41" s="825"/>
    </row>
  </sheetData>
  <mergeCells count="2">
    <mergeCell ref="A1:N41"/>
    <mergeCell ref="O1:Z4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E3AA5-DCC2-4F92-8FD4-DF79E00B7BAC}">
  <sheetPr codeName="Sheet30">
    <pageSetUpPr fitToPage="1"/>
  </sheetPr>
  <dimension ref="A13:AN50"/>
  <sheetViews>
    <sheetView topLeftCell="R21" zoomScale="64" zoomScaleNormal="64" workbookViewId="0">
      <selection activeCell="U24" activeCellId="1" sqref="E24:E41 U24:U41"/>
    </sheetView>
  </sheetViews>
  <sheetFormatPr defaultColWidth="13.140625" defaultRowHeight="14.25" x14ac:dyDescent="0.2"/>
  <cols>
    <col min="1" max="1" width="43.28515625" style="609" bestFit="1" customWidth="1"/>
    <col min="2" max="2" width="53.140625" style="609" customWidth="1"/>
    <col min="3" max="3" width="26.42578125" style="609" customWidth="1"/>
    <col min="4" max="4" width="51.42578125" style="609" bestFit="1" customWidth="1"/>
    <col min="5" max="5" width="14.7109375" style="636" customWidth="1"/>
    <col min="6" max="6" width="16.7109375" style="609" customWidth="1"/>
    <col min="7" max="7" width="12.140625" style="609" customWidth="1"/>
    <col min="8" max="8" width="19.85546875" style="635" customWidth="1"/>
    <col min="9" max="9" width="21.5703125" style="609" customWidth="1"/>
    <col min="10" max="10" width="20.7109375" style="609" bestFit="1" customWidth="1"/>
    <col min="11" max="11" width="17.85546875" style="609" customWidth="1"/>
    <col min="12" max="12" width="21.28515625" style="609" customWidth="1"/>
    <col min="13" max="13" width="23.5703125" style="609" customWidth="1"/>
    <col min="14" max="14" width="18.85546875" style="609" customWidth="1"/>
    <col min="15" max="15" width="19.85546875" style="609" customWidth="1"/>
    <col min="16" max="16" width="20.5703125" style="609" customWidth="1"/>
    <col min="17" max="17" width="21.7109375" style="609" customWidth="1"/>
    <col min="18" max="18" width="23.42578125" style="609" customWidth="1"/>
    <col min="19" max="19" width="21.140625" style="609" customWidth="1"/>
    <col min="20" max="20" width="23.42578125" style="609" customWidth="1"/>
    <col min="21" max="21" width="25.85546875" style="609" bestFit="1" customWidth="1"/>
    <col min="22" max="22" width="30.140625" style="634" customWidth="1"/>
    <col min="23" max="23" width="17.7109375" style="634" customWidth="1"/>
    <col min="24" max="40" width="13.140625" style="634"/>
    <col min="41" max="16384" width="13.140625" style="609"/>
  </cols>
  <sheetData>
    <row r="13" spans="1:40" s="633" customFormat="1" ht="19.5" x14ac:dyDescent="0.25">
      <c r="A13" s="923" t="s">
        <v>0</v>
      </c>
      <c r="B13" s="923"/>
      <c r="C13" s="923"/>
      <c r="D13" s="923"/>
      <c r="E13" s="923"/>
      <c r="F13" s="923"/>
      <c r="G13" s="923"/>
      <c r="H13" s="923"/>
      <c r="I13" s="923"/>
      <c r="J13" s="923"/>
      <c r="K13" s="923"/>
      <c r="L13" s="923"/>
      <c r="M13" s="923"/>
      <c r="N13" s="923"/>
      <c r="O13" s="923"/>
      <c r="P13" s="923"/>
      <c r="Q13" s="923"/>
      <c r="R13" s="923"/>
      <c r="S13" s="923"/>
      <c r="T13" s="923"/>
      <c r="U13" s="923"/>
      <c r="V13" s="923"/>
      <c r="W13" s="679"/>
      <c r="X13" s="679"/>
      <c r="Y13" s="679"/>
      <c r="Z13" s="679"/>
      <c r="AA13" s="679"/>
      <c r="AB13" s="679"/>
      <c r="AC13" s="679"/>
      <c r="AD13" s="679"/>
      <c r="AE13" s="679"/>
      <c r="AF13" s="679"/>
      <c r="AG13" s="679"/>
      <c r="AH13" s="679"/>
      <c r="AI13" s="679"/>
      <c r="AJ13" s="679"/>
      <c r="AK13" s="679"/>
      <c r="AL13" s="679"/>
      <c r="AM13" s="679"/>
      <c r="AN13" s="679"/>
    </row>
    <row r="14" spans="1:40" s="633" customFormat="1" ht="19.5" x14ac:dyDescent="0.25">
      <c r="A14" s="923" t="s">
        <v>1</v>
      </c>
      <c r="B14" s="923"/>
      <c r="C14" s="923"/>
      <c r="D14" s="923"/>
      <c r="E14" s="923"/>
      <c r="F14" s="923"/>
      <c r="G14" s="923"/>
      <c r="H14" s="923"/>
      <c r="I14" s="923"/>
      <c r="J14" s="923"/>
      <c r="K14" s="923"/>
      <c r="L14" s="923"/>
      <c r="M14" s="923"/>
      <c r="N14" s="923"/>
      <c r="O14" s="923"/>
      <c r="P14" s="923"/>
      <c r="Q14" s="923"/>
      <c r="R14" s="923"/>
      <c r="S14" s="923"/>
      <c r="T14" s="923"/>
      <c r="U14" s="923"/>
      <c r="V14" s="923"/>
      <c r="W14" s="679"/>
      <c r="X14" s="679"/>
      <c r="Y14" s="679"/>
      <c r="Z14" s="679"/>
      <c r="AA14" s="679"/>
      <c r="AB14" s="679"/>
      <c r="AC14" s="679"/>
      <c r="AD14" s="679"/>
      <c r="AE14" s="679"/>
      <c r="AF14" s="679"/>
      <c r="AG14" s="679"/>
      <c r="AH14" s="679"/>
      <c r="AI14" s="679"/>
      <c r="AJ14" s="679"/>
      <c r="AK14" s="679"/>
      <c r="AL14" s="679"/>
      <c r="AM14" s="679"/>
      <c r="AN14" s="679"/>
    </row>
    <row r="15" spans="1:40" s="633" customFormat="1" ht="19.5" x14ac:dyDescent="0.25">
      <c r="A15" s="923" t="s">
        <v>42</v>
      </c>
      <c r="B15" s="923"/>
      <c r="C15" s="923"/>
      <c r="D15" s="923"/>
      <c r="E15" s="923"/>
      <c r="F15" s="923"/>
      <c r="G15" s="923"/>
      <c r="H15" s="923"/>
      <c r="I15" s="923"/>
      <c r="J15" s="923"/>
      <c r="K15" s="923"/>
      <c r="L15" s="923"/>
      <c r="M15" s="923"/>
      <c r="N15" s="923"/>
      <c r="O15" s="923"/>
      <c r="P15" s="923"/>
      <c r="Q15" s="923"/>
      <c r="R15" s="923"/>
      <c r="S15" s="923"/>
      <c r="T15" s="923"/>
      <c r="U15" s="923"/>
      <c r="V15" s="923"/>
      <c r="W15" s="679"/>
      <c r="X15" s="679"/>
      <c r="Y15" s="679"/>
      <c r="Z15" s="679"/>
      <c r="AA15" s="679"/>
      <c r="AB15" s="679"/>
      <c r="AC15" s="679"/>
      <c r="AD15" s="679"/>
      <c r="AE15" s="679"/>
      <c r="AF15" s="679"/>
      <c r="AG15" s="679"/>
      <c r="AH15" s="679"/>
      <c r="AI15" s="679"/>
      <c r="AJ15" s="679"/>
      <c r="AK15" s="679"/>
      <c r="AL15" s="679"/>
      <c r="AM15" s="679"/>
      <c r="AN15" s="679"/>
    </row>
    <row r="16" spans="1:40" s="633" customFormat="1" ht="19.5" x14ac:dyDescent="0.25">
      <c r="A16" s="680"/>
      <c r="B16" s="680"/>
      <c r="C16" s="680"/>
      <c r="D16" s="680"/>
      <c r="E16" s="680"/>
      <c r="F16" s="680"/>
      <c r="G16" s="680"/>
      <c r="H16" s="680"/>
      <c r="I16" s="680"/>
      <c r="J16" s="680"/>
      <c r="K16" s="680"/>
      <c r="L16" s="680"/>
      <c r="M16" s="680"/>
      <c r="N16" s="680"/>
      <c r="O16" s="680"/>
      <c r="P16" s="680"/>
      <c r="Q16" s="680"/>
      <c r="R16" s="680"/>
      <c r="S16" s="680"/>
      <c r="T16" s="680"/>
      <c r="U16" s="680"/>
      <c r="V16" s="679"/>
      <c r="W16" s="679"/>
      <c r="X16" s="679"/>
      <c r="Y16" s="679"/>
      <c r="Z16" s="679"/>
      <c r="AA16" s="679"/>
      <c r="AB16" s="679"/>
      <c r="AC16" s="679"/>
      <c r="AD16" s="679"/>
      <c r="AE16" s="679"/>
      <c r="AF16" s="679"/>
      <c r="AG16" s="679"/>
      <c r="AH16" s="679"/>
      <c r="AI16" s="679"/>
      <c r="AJ16" s="679"/>
      <c r="AK16" s="679"/>
      <c r="AL16" s="679"/>
      <c r="AM16" s="679"/>
      <c r="AN16" s="679"/>
    </row>
    <row r="17" spans="1:40" s="633" customFormat="1" ht="19.5" x14ac:dyDescent="0.25">
      <c r="A17" s="680"/>
      <c r="B17" s="680"/>
      <c r="C17" s="680"/>
      <c r="D17" s="680"/>
      <c r="E17" s="680"/>
      <c r="F17" s="680"/>
      <c r="G17" s="680"/>
      <c r="H17" s="680"/>
      <c r="I17" s="680"/>
      <c r="J17" s="680"/>
      <c r="K17" s="680"/>
      <c r="L17" s="680"/>
      <c r="M17" s="680"/>
      <c r="N17" s="680"/>
      <c r="O17" s="680"/>
      <c r="P17" s="680"/>
      <c r="Q17" s="680"/>
      <c r="R17" s="680"/>
      <c r="S17" s="680"/>
      <c r="T17" s="680"/>
      <c r="U17" s="680"/>
      <c r="V17" s="679"/>
      <c r="W17" s="679"/>
      <c r="X17" s="679"/>
      <c r="Y17" s="679"/>
      <c r="Z17" s="679"/>
      <c r="AA17" s="679"/>
      <c r="AB17" s="679"/>
      <c r="AC17" s="679"/>
      <c r="AD17" s="679"/>
      <c r="AE17" s="679"/>
      <c r="AF17" s="679"/>
      <c r="AG17" s="679"/>
      <c r="AH17" s="679"/>
      <c r="AI17" s="679"/>
      <c r="AJ17" s="679"/>
      <c r="AK17" s="679"/>
      <c r="AL17" s="679"/>
      <c r="AM17" s="679"/>
      <c r="AN17" s="679"/>
    </row>
    <row r="18" spans="1:40" s="615" customFormat="1" ht="15" x14ac:dyDescent="0.2">
      <c r="A18" s="678" t="s">
        <v>2</v>
      </c>
      <c r="B18" s="924" t="s">
        <v>72</v>
      </c>
      <c r="C18" s="924"/>
      <c r="D18" s="924"/>
      <c r="E18" s="924"/>
      <c r="F18" s="924"/>
      <c r="G18" s="924"/>
      <c r="H18" s="924"/>
      <c r="I18" s="924"/>
      <c r="J18" s="924"/>
      <c r="K18" s="924"/>
      <c r="L18" s="924"/>
      <c r="M18" s="924"/>
      <c r="N18" s="924"/>
      <c r="O18" s="924"/>
      <c r="P18" s="924"/>
      <c r="Q18" s="924"/>
      <c r="R18" s="924"/>
      <c r="S18" s="924"/>
      <c r="T18" s="924"/>
      <c r="U18" s="924"/>
      <c r="V18" s="924"/>
      <c r="W18" s="620"/>
      <c r="X18" s="620"/>
      <c r="Y18" s="620"/>
      <c r="Z18" s="620"/>
      <c r="AA18" s="620"/>
      <c r="AB18" s="620"/>
      <c r="AC18" s="620"/>
      <c r="AD18" s="620"/>
      <c r="AE18" s="620"/>
      <c r="AF18" s="620"/>
      <c r="AG18" s="620"/>
      <c r="AH18" s="620"/>
      <c r="AI18" s="620"/>
      <c r="AJ18" s="620"/>
      <c r="AK18" s="620"/>
      <c r="AL18" s="620"/>
      <c r="AM18" s="620"/>
      <c r="AN18" s="620"/>
    </row>
    <row r="19" spans="1:40" s="615" customFormat="1" ht="15" x14ac:dyDescent="0.2">
      <c r="A19" s="678" t="s">
        <v>3</v>
      </c>
      <c r="B19" s="924" t="s">
        <v>73</v>
      </c>
      <c r="C19" s="924"/>
      <c r="D19" s="924"/>
      <c r="E19" s="924"/>
      <c r="F19" s="924"/>
      <c r="G19" s="924"/>
      <c r="H19" s="924"/>
      <c r="I19" s="924"/>
      <c r="J19" s="924"/>
      <c r="K19" s="924"/>
      <c r="L19" s="924"/>
      <c r="M19" s="924"/>
      <c r="N19" s="924"/>
      <c r="O19" s="924"/>
      <c r="P19" s="924"/>
      <c r="Q19" s="924"/>
      <c r="R19" s="924"/>
      <c r="S19" s="924"/>
      <c r="T19" s="924"/>
      <c r="U19" s="924"/>
      <c r="V19" s="924"/>
      <c r="W19" s="620"/>
      <c r="X19" s="620"/>
      <c r="Y19" s="620"/>
      <c r="Z19" s="620"/>
      <c r="AA19" s="620"/>
      <c r="AB19" s="620"/>
      <c r="AC19" s="620"/>
      <c r="AD19" s="620"/>
      <c r="AE19" s="620"/>
      <c r="AF19" s="620"/>
      <c r="AG19" s="620"/>
      <c r="AH19" s="620"/>
      <c r="AI19" s="620"/>
      <c r="AJ19" s="620"/>
      <c r="AK19" s="620"/>
      <c r="AL19" s="620"/>
      <c r="AM19" s="620"/>
      <c r="AN19" s="620"/>
    </row>
    <row r="20" spans="1:40" s="615" customFormat="1" ht="15" x14ac:dyDescent="0.2">
      <c r="A20" s="678" t="s">
        <v>5</v>
      </c>
      <c r="B20" s="924" t="s">
        <v>74</v>
      </c>
      <c r="C20" s="924"/>
      <c r="D20" s="924"/>
      <c r="E20" s="924"/>
      <c r="F20" s="924"/>
      <c r="G20" s="924"/>
      <c r="H20" s="924"/>
      <c r="I20" s="924"/>
      <c r="J20" s="924"/>
      <c r="K20" s="924"/>
      <c r="L20" s="924"/>
      <c r="M20" s="924"/>
      <c r="N20" s="924"/>
      <c r="O20" s="924"/>
      <c r="P20" s="924"/>
      <c r="Q20" s="924"/>
      <c r="R20" s="924"/>
      <c r="S20" s="924"/>
      <c r="T20" s="924"/>
      <c r="U20" s="924"/>
      <c r="V20" s="924"/>
      <c r="W20" s="620"/>
      <c r="X20" s="620"/>
      <c r="Y20" s="620"/>
      <c r="Z20" s="620"/>
      <c r="AA20" s="620"/>
      <c r="AB20" s="620"/>
      <c r="AC20" s="620"/>
      <c r="AD20" s="620"/>
      <c r="AE20" s="620"/>
      <c r="AF20" s="620"/>
      <c r="AG20" s="620"/>
      <c r="AH20" s="620"/>
      <c r="AI20" s="620"/>
      <c r="AJ20" s="620"/>
      <c r="AK20" s="620"/>
      <c r="AL20" s="620"/>
      <c r="AM20" s="620"/>
      <c r="AN20" s="620"/>
    </row>
    <row r="21" spans="1:40" s="615" customFormat="1" ht="15" x14ac:dyDescent="0.2">
      <c r="A21" s="611"/>
      <c r="B21" s="611"/>
      <c r="C21" s="611"/>
      <c r="D21" s="611"/>
      <c r="E21" s="638"/>
      <c r="F21" s="611"/>
      <c r="G21" s="611"/>
      <c r="H21" s="637"/>
      <c r="I21" s="611"/>
      <c r="J21" s="611"/>
      <c r="K21" s="611"/>
      <c r="L21" s="611"/>
      <c r="M21" s="611"/>
      <c r="N21" s="611"/>
      <c r="O21" s="611"/>
      <c r="P21" s="611"/>
      <c r="Q21" s="611"/>
      <c r="R21" s="611"/>
      <c r="S21" s="611"/>
      <c r="T21" s="611"/>
      <c r="U21" s="611"/>
      <c r="V21" s="620"/>
      <c r="W21" s="620"/>
      <c r="X21" s="620"/>
      <c r="Y21" s="620"/>
      <c r="Z21" s="620"/>
      <c r="AA21" s="620"/>
      <c r="AB21" s="620"/>
      <c r="AC21" s="620"/>
      <c r="AD21" s="620"/>
      <c r="AE21" s="620"/>
      <c r="AF21" s="620"/>
      <c r="AG21" s="620"/>
      <c r="AH21" s="620"/>
      <c r="AI21" s="620"/>
      <c r="AJ21" s="620"/>
      <c r="AK21" s="620"/>
      <c r="AL21" s="620"/>
      <c r="AM21" s="620"/>
      <c r="AN21" s="620"/>
    </row>
    <row r="22" spans="1:40" s="615" customFormat="1" ht="15" x14ac:dyDescent="0.2">
      <c r="A22" s="914" t="s">
        <v>6</v>
      </c>
      <c r="B22" s="913" t="s">
        <v>10</v>
      </c>
      <c r="C22" s="914" t="s">
        <v>43</v>
      </c>
      <c r="D22" s="914" t="s">
        <v>44</v>
      </c>
      <c r="E22" s="914" t="s">
        <v>45</v>
      </c>
      <c r="F22" s="914" t="s">
        <v>46</v>
      </c>
      <c r="G22" s="914" t="s">
        <v>47</v>
      </c>
      <c r="H22" s="914" t="s">
        <v>48</v>
      </c>
      <c r="I22" s="922" t="s">
        <v>11</v>
      </c>
      <c r="J22" s="922"/>
      <c r="K22" s="922"/>
      <c r="L22" s="922" t="s">
        <v>12</v>
      </c>
      <c r="M22" s="922"/>
      <c r="N22" s="922"/>
      <c r="O22" s="922" t="s">
        <v>13</v>
      </c>
      <c r="P22" s="922"/>
      <c r="Q22" s="922"/>
      <c r="R22" s="922" t="s">
        <v>14</v>
      </c>
      <c r="S22" s="922"/>
      <c r="T22" s="922"/>
      <c r="U22" s="913" t="s">
        <v>93</v>
      </c>
      <c r="V22" s="913" t="s">
        <v>232</v>
      </c>
      <c r="W22" s="620"/>
      <c r="X22" s="620"/>
      <c r="Y22" s="620"/>
      <c r="Z22" s="620"/>
      <c r="AA22" s="620"/>
      <c r="AB22" s="620"/>
      <c r="AC22" s="620"/>
      <c r="AD22" s="620"/>
      <c r="AE22" s="620"/>
      <c r="AF22" s="620"/>
      <c r="AG22" s="620"/>
      <c r="AH22" s="620"/>
      <c r="AI22" s="620"/>
      <c r="AJ22" s="620"/>
      <c r="AK22" s="620"/>
      <c r="AL22" s="620"/>
      <c r="AM22" s="620"/>
      <c r="AN22" s="620"/>
    </row>
    <row r="23" spans="1:40" s="627" customFormat="1" ht="15" x14ac:dyDescent="0.25">
      <c r="A23" s="915"/>
      <c r="B23" s="913"/>
      <c r="C23" s="915"/>
      <c r="D23" s="915"/>
      <c r="E23" s="915"/>
      <c r="F23" s="915"/>
      <c r="G23" s="915"/>
      <c r="H23" s="915"/>
      <c r="I23" s="677" t="s">
        <v>19</v>
      </c>
      <c r="J23" s="677" t="s">
        <v>20</v>
      </c>
      <c r="K23" s="677" t="s">
        <v>21</v>
      </c>
      <c r="L23" s="677" t="s">
        <v>22</v>
      </c>
      <c r="M23" s="677" t="s">
        <v>23</v>
      </c>
      <c r="N23" s="677" t="s">
        <v>24</v>
      </c>
      <c r="O23" s="677" t="s">
        <v>25</v>
      </c>
      <c r="P23" s="677" t="s">
        <v>26</v>
      </c>
      <c r="Q23" s="677" t="s">
        <v>27</v>
      </c>
      <c r="R23" s="677" t="s">
        <v>28</v>
      </c>
      <c r="S23" s="677" t="s">
        <v>29</v>
      </c>
      <c r="T23" s="677" t="s">
        <v>30</v>
      </c>
      <c r="U23" s="913"/>
      <c r="V23" s="913"/>
      <c r="W23" s="676"/>
      <c r="X23" s="676"/>
      <c r="Y23" s="676"/>
      <c r="Z23" s="676"/>
      <c r="AA23" s="676"/>
      <c r="AB23" s="676"/>
      <c r="AC23" s="676"/>
      <c r="AD23" s="676"/>
      <c r="AE23" s="676"/>
      <c r="AF23" s="676"/>
      <c r="AG23" s="676"/>
      <c r="AH23" s="676"/>
      <c r="AI23" s="676"/>
      <c r="AJ23" s="676"/>
      <c r="AK23" s="676"/>
      <c r="AL23" s="676"/>
      <c r="AM23" s="676"/>
      <c r="AN23" s="676"/>
    </row>
    <row r="24" spans="1:40" s="650" customFormat="1" ht="45" x14ac:dyDescent="0.2">
      <c r="A24" s="925" t="s">
        <v>957</v>
      </c>
      <c r="B24" s="675" t="s">
        <v>1198</v>
      </c>
      <c r="C24" s="659" t="s">
        <v>50</v>
      </c>
      <c r="D24" s="674" t="s">
        <v>669</v>
      </c>
      <c r="E24" s="673" t="s">
        <v>94</v>
      </c>
      <c r="F24" s="673" t="s">
        <v>95</v>
      </c>
      <c r="G24" s="673">
        <v>1</v>
      </c>
      <c r="H24" s="663">
        <v>10000</v>
      </c>
      <c r="I24" s="670">
        <v>0</v>
      </c>
      <c r="J24" s="670">
        <v>0</v>
      </c>
      <c r="K24" s="670">
        <v>0</v>
      </c>
      <c r="L24" s="672"/>
      <c r="M24" s="670">
        <v>0</v>
      </c>
      <c r="N24" s="670">
        <v>0</v>
      </c>
      <c r="O24" s="670">
        <v>0</v>
      </c>
      <c r="P24" s="671">
        <v>0</v>
      </c>
      <c r="Q24" s="670">
        <v>0</v>
      </c>
      <c r="R24" s="669" t="s">
        <v>77</v>
      </c>
      <c r="S24" s="663">
        <v>10000</v>
      </c>
      <c r="T24" s="668">
        <v>0</v>
      </c>
      <c r="U24" s="651">
        <f t="shared" ref="U24:U41" si="0">SUM(I24:T24)</f>
        <v>10000</v>
      </c>
      <c r="W24" s="620"/>
      <c r="X24" s="620"/>
      <c r="Y24" s="620"/>
      <c r="Z24" s="620"/>
      <c r="AA24" s="620"/>
      <c r="AB24" s="620"/>
      <c r="AC24" s="620"/>
      <c r="AD24" s="620"/>
      <c r="AE24" s="620"/>
      <c r="AF24" s="620"/>
      <c r="AG24" s="620"/>
      <c r="AH24" s="620"/>
      <c r="AI24" s="620"/>
      <c r="AJ24" s="620"/>
      <c r="AK24" s="620"/>
      <c r="AL24" s="620"/>
      <c r="AM24" s="620"/>
      <c r="AN24" s="620"/>
    </row>
    <row r="25" spans="1:40" s="620" customFormat="1" ht="15" x14ac:dyDescent="0.2">
      <c r="A25" s="926"/>
      <c r="B25" s="928" t="s">
        <v>1197</v>
      </c>
      <c r="C25" s="666" t="s">
        <v>50</v>
      </c>
      <c r="D25" s="667" t="s">
        <v>96</v>
      </c>
      <c r="E25" s="656" t="str">
        <f>$E$32</f>
        <v>2.3.9.2.01</v>
      </c>
      <c r="F25" s="656" t="s">
        <v>95</v>
      </c>
      <c r="G25" s="656">
        <v>1</v>
      </c>
      <c r="H25" s="651">
        <v>6000</v>
      </c>
      <c r="I25" s="664"/>
      <c r="J25" s="664"/>
      <c r="K25" s="664"/>
      <c r="L25" s="651">
        <f t="shared" ref="L25:L35" si="1">+H25*G25</f>
        <v>6000</v>
      </c>
      <c r="M25" s="664"/>
      <c r="N25" s="664"/>
      <c r="O25" s="664"/>
      <c r="P25" s="664"/>
      <c r="Q25" s="664"/>
      <c r="R25" s="651" t="s">
        <v>97</v>
      </c>
      <c r="S25" s="664"/>
      <c r="T25" s="664"/>
      <c r="U25" s="651">
        <f t="shared" si="0"/>
        <v>6000</v>
      </c>
      <c r="V25" s="650"/>
    </row>
    <row r="26" spans="1:40" s="620" customFormat="1" ht="15" x14ac:dyDescent="0.2">
      <c r="A26" s="926"/>
      <c r="B26" s="928"/>
      <c r="C26" s="666" t="s">
        <v>50</v>
      </c>
      <c r="D26" s="667" t="s">
        <v>98</v>
      </c>
      <c r="E26" s="656" t="str">
        <f>$E$32</f>
        <v>2.3.9.2.01</v>
      </c>
      <c r="F26" s="656" t="s">
        <v>95</v>
      </c>
      <c r="G26" s="656">
        <v>1</v>
      </c>
      <c r="H26" s="651">
        <v>6000</v>
      </c>
      <c r="I26" s="664"/>
      <c r="J26" s="664"/>
      <c r="K26" s="664"/>
      <c r="L26" s="651">
        <f t="shared" si="1"/>
        <v>6000</v>
      </c>
      <c r="M26" s="664"/>
      <c r="N26" s="664"/>
      <c r="O26" s="664"/>
      <c r="P26" s="664"/>
      <c r="Q26" s="664"/>
      <c r="R26" s="651"/>
      <c r="S26" s="664"/>
      <c r="T26" s="664"/>
      <c r="U26" s="651">
        <f t="shared" si="0"/>
        <v>6000</v>
      </c>
      <c r="V26" s="650"/>
    </row>
    <row r="27" spans="1:40" s="620" customFormat="1" ht="15" x14ac:dyDescent="0.2">
      <c r="A27" s="926"/>
      <c r="B27" s="928"/>
      <c r="C27" s="666" t="s">
        <v>50</v>
      </c>
      <c r="D27" s="667" t="s">
        <v>99</v>
      </c>
      <c r="E27" s="656" t="str">
        <f>$E$32</f>
        <v>2.3.9.2.01</v>
      </c>
      <c r="F27" s="656" t="s">
        <v>95</v>
      </c>
      <c r="G27" s="656">
        <v>1</v>
      </c>
      <c r="H27" s="651">
        <v>6000</v>
      </c>
      <c r="I27" s="664"/>
      <c r="J27" s="664"/>
      <c r="K27" s="664"/>
      <c r="L27" s="651">
        <f t="shared" si="1"/>
        <v>6000</v>
      </c>
      <c r="M27" s="664"/>
      <c r="N27" s="664"/>
      <c r="O27" s="664"/>
      <c r="P27" s="664"/>
      <c r="Q27" s="664"/>
      <c r="R27" s="651"/>
      <c r="S27" s="664"/>
      <c r="T27" s="664"/>
      <c r="U27" s="651">
        <f t="shared" si="0"/>
        <v>6000</v>
      </c>
      <c r="V27" s="650"/>
    </row>
    <row r="28" spans="1:40" s="620" customFormat="1" ht="15" x14ac:dyDescent="0.2">
      <c r="A28" s="926"/>
      <c r="B28" s="928"/>
      <c r="C28" s="666" t="s">
        <v>50</v>
      </c>
      <c r="D28" s="667" t="s">
        <v>100</v>
      </c>
      <c r="E28" s="656" t="str">
        <f>$E$32</f>
        <v>2.3.9.2.01</v>
      </c>
      <c r="F28" s="656" t="s">
        <v>95</v>
      </c>
      <c r="G28" s="656">
        <v>1</v>
      </c>
      <c r="H28" s="651">
        <v>6000</v>
      </c>
      <c r="I28" s="664"/>
      <c r="J28" s="664"/>
      <c r="K28" s="664"/>
      <c r="L28" s="651">
        <f t="shared" si="1"/>
        <v>6000</v>
      </c>
      <c r="M28" s="664"/>
      <c r="N28" s="664"/>
      <c r="O28" s="664"/>
      <c r="P28" s="664"/>
      <c r="Q28" s="664"/>
      <c r="R28" s="651"/>
      <c r="S28" s="664"/>
      <c r="T28" s="664"/>
      <c r="U28" s="651">
        <f t="shared" si="0"/>
        <v>6000</v>
      </c>
      <c r="V28" s="650"/>
    </row>
    <row r="29" spans="1:40" s="620" customFormat="1" ht="15" x14ac:dyDescent="0.2">
      <c r="A29" s="926"/>
      <c r="B29" s="928"/>
      <c r="C29" s="621" t="s">
        <v>50</v>
      </c>
      <c r="D29" s="667" t="s">
        <v>101</v>
      </c>
      <c r="E29" s="656" t="str">
        <f>'[2]Table 1'!$A$281</f>
        <v>2.3.3.1.01</v>
      </c>
      <c r="F29" s="656" t="s">
        <v>102</v>
      </c>
      <c r="G29" s="656">
        <v>5</v>
      </c>
      <c r="H29" s="651">
        <v>915</v>
      </c>
      <c r="I29" s="664"/>
      <c r="J29" s="664"/>
      <c r="K29" s="664"/>
      <c r="L29" s="651">
        <f t="shared" si="1"/>
        <v>4575</v>
      </c>
      <c r="M29" s="664"/>
      <c r="N29" s="664"/>
      <c r="O29" s="664"/>
      <c r="P29" s="664"/>
      <c r="Q29" s="664"/>
      <c r="R29" s="651"/>
      <c r="S29" s="664"/>
      <c r="T29" s="664"/>
      <c r="U29" s="651">
        <f t="shared" si="0"/>
        <v>4575</v>
      </c>
      <c r="V29" s="650"/>
    </row>
    <row r="30" spans="1:40" s="620" customFormat="1" ht="15" x14ac:dyDescent="0.2">
      <c r="A30" s="926"/>
      <c r="B30" s="928"/>
      <c r="C30" s="621" t="s">
        <v>50</v>
      </c>
      <c r="D30" s="667" t="s">
        <v>103</v>
      </c>
      <c r="E30" s="656" t="str">
        <f>$E$29</f>
        <v>2.3.3.1.01</v>
      </c>
      <c r="F30" s="656" t="s">
        <v>102</v>
      </c>
      <c r="G30" s="656">
        <v>5</v>
      </c>
      <c r="H30" s="651">
        <v>715</v>
      </c>
      <c r="I30" s="664"/>
      <c r="J30" s="664"/>
      <c r="K30" s="664"/>
      <c r="L30" s="651">
        <f t="shared" si="1"/>
        <v>3575</v>
      </c>
      <c r="M30" s="664"/>
      <c r="N30" s="664"/>
      <c r="O30" s="664"/>
      <c r="P30" s="664"/>
      <c r="Q30" s="664"/>
      <c r="R30" s="651"/>
      <c r="S30" s="664"/>
      <c r="T30" s="664"/>
      <c r="U30" s="651">
        <f t="shared" si="0"/>
        <v>3575</v>
      </c>
      <c r="V30" s="650"/>
    </row>
    <row r="31" spans="1:40" s="620" customFormat="1" ht="15" x14ac:dyDescent="0.2">
      <c r="A31" s="926"/>
      <c r="B31" s="928"/>
      <c r="C31" s="621" t="s">
        <v>50</v>
      </c>
      <c r="D31" s="667" t="s">
        <v>104</v>
      </c>
      <c r="E31" s="656" t="str">
        <f>$E$29</f>
        <v>2.3.3.1.01</v>
      </c>
      <c r="F31" s="656" t="s">
        <v>105</v>
      </c>
      <c r="G31" s="656">
        <v>5</v>
      </c>
      <c r="H31" s="651">
        <v>350</v>
      </c>
      <c r="I31" s="664"/>
      <c r="J31" s="664"/>
      <c r="K31" s="664"/>
      <c r="L31" s="651">
        <f t="shared" si="1"/>
        <v>1750</v>
      </c>
      <c r="M31" s="664"/>
      <c r="N31" s="664"/>
      <c r="O31" s="664"/>
      <c r="P31" s="664"/>
      <c r="Q31" s="664"/>
      <c r="R31" s="651"/>
      <c r="S31" s="664"/>
      <c r="T31" s="664"/>
      <c r="U31" s="651">
        <f t="shared" si="0"/>
        <v>1750</v>
      </c>
      <c r="V31" s="650"/>
    </row>
    <row r="32" spans="1:40" s="620" customFormat="1" ht="30" x14ac:dyDescent="0.2">
      <c r="A32" s="926"/>
      <c r="B32" s="928"/>
      <c r="C32" s="666" t="s">
        <v>486</v>
      </c>
      <c r="D32" s="665" t="s">
        <v>106</v>
      </c>
      <c r="E32" s="656" t="s">
        <v>52</v>
      </c>
      <c r="F32" s="656" t="s">
        <v>95</v>
      </c>
      <c r="G32" s="656">
        <v>1</v>
      </c>
      <c r="H32" s="651">
        <v>12000</v>
      </c>
      <c r="I32" s="664"/>
      <c r="J32" s="664"/>
      <c r="K32" s="664"/>
      <c r="L32" s="651">
        <f t="shared" si="1"/>
        <v>12000</v>
      </c>
      <c r="M32" s="664"/>
      <c r="N32" s="664"/>
      <c r="O32" s="664"/>
      <c r="P32" s="664"/>
      <c r="Q32" s="664"/>
      <c r="R32" s="651"/>
      <c r="S32" s="664"/>
      <c r="T32" s="664"/>
      <c r="U32" s="663">
        <f t="shared" si="0"/>
        <v>12000</v>
      </c>
      <c r="V32" s="650"/>
    </row>
    <row r="33" spans="1:40" s="620" customFormat="1" ht="30" x14ac:dyDescent="0.2">
      <c r="A33" s="926"/>
      <c r="B33" s="928"/>
      <c r="C33" s="666" t="s">
        <v>486</v>
      </c>
      <c r="D33" s="665" t="s">
        <v>107</v>
      </c>
      <c r="E33" s="656" t="s">
        <v>52</v>
      </c>
      <c r="F33" s="656" t="s">
        <v>95</v>
      </c>
      <c r="G33" s="656">
        <v>1</v>
      </c>
      <c r="H33" s="651">
        <v>6500</v>
      </c>
      <c r="I33" s="664"/>
      <c r="J33" s="664"/>
      <c r="K33" s="664"/>
      <c r="L33" s="651">
        <f t="shared" si="1"/>
        <v>6500</v>
      </c>
      <c r="M33" s="664"/>
      <c r="N33" s="664"/>
      <c r="O33" s="664"/>
      <c r="P33" s="664"/>
      <c r="Q33" s="664"/>
      <c r="R33" s="651"/>
      <c r="S33" s="664"/>
      <c r="T33" s="664"/>
      <c r="U33" s="663">
        <f t="shared" si="0"/>
        <v>6500</v>
      </c>
      <c r="V33" s="650"/>
    </row>
    <row r="34" spans="1:40" s="620" customFormat="1" ht="30" x14ac:dyDescent="0.2">
      <c r="A34" s="926"/>
      <c r="B34" s="928"/>
      <c r="C34" s="666" t="s">
        <v>486</v>
      </c>
      <c r="D34" s="665" t="s">
        <v>108</v>
      </c>
      <c r="E34" s="656" t="s">
        <v>52</v>
      </c>
      <c r="F34" s="656" t="s">
        <v>95</v>
      </c>
      <c r="G34" s="656">
        <v>1</v>
      </c>
      <c r="H34" s="651">
        <v>6500</v>
      </c>
      <c r="I34" s="664"/>
      <c r="J34" s="664"/>
      <c r="K34" s="664"/>
      <c r="L34" s="651">
        <f t="shared" si="1"/>
        <v>6500</v>
      </c>
      <c r="M34" s="664"/>
      <c r="N34" s="664"/>
      <c r="O34" s="664"/>
      <c r="P34" s="664"/>
      <c r="Q34" s="664"/>
      <c r="R34" s="651"/>
      <c r="S34" s="664"/>
      <c r="T34" s="664"/>
      <c r="U34" s="663">
        <f t="shared" si="0"/>
        <v>6500</v>
      </c>
      <c r="V34" s="650"/>
    </row>
    <row r="35" spans="1:40" s="620" customFormat="1" ht="30" x14ac:dyDescent="0.2">
      <c r="A35" s="926"/>
      <c r="B35" s="928"/>
      <c r="C35" s="666" t="s">
        <v>486</v>
      </c>
      <c r="D35" s="665" t="s">
        <v>109</v>
      </c>
      <c r="E35" s="656" t="s">
        <v>52</v>
      </c>
      <c r="F35" s="656" t="s">
        <v>95</v>
      </c>
      <c r="G35" s="656">
        <v>1</v>
      </c>
      <c r="H35" s="651">
        <v>6000</v>
      </c>
      <c r="I35" s="664"/>
      <c r="J35" s="664"/>
      <c r="K35" s="664"/>
      <c r="L35" s="651">
        <f t="shared" si="1"/>
        <v>6000</v>
      </c>
      <c r="M35" s="664"/>
      <c r="N35" s="664"/>
      <c r="O35" s="664"/>
      <c r="P35" s="664"/>
      <c r="Q35" s="664"/>
      <c r="R35" s="651"/>
      <c r="S35" s="664"/>
      <c r="T35" s="664"/>
      <c r="U35" s="663">
        <f t="shared" si="0"/>
        <v>6000</v>
      </c>
      <c r="V35" s="650"/>
    </row>
    <row r="36" spans="1:40" s="620" customFormat="1" ht="90" x14ac:dyDescent="0.2">
      <c r="A36" s="926"/>
      <c r="B36" s="662" t="s">
        <v>1196</v>
      </c>
      <c r="C36" s="618" t="s">
        <v>50</v>
      </c>
      <c r="D36" s="658" t="s">
        <v>111</v>
      </c>
      <c r="E36" s="658" t="s">
        <v>69</v>
      </c>
      <c r="F36" s="657" t="s">
        <v>112</v>
      </c>
      <c r="G36" s="661">
        <v>27</v>
      </c>
      <c r="H36" s="655">
        <v>500</v>
      </c>
      <c r="I36" s="652" t="s">
        <v>77</v>
      </c>
      <c r="J36" s="652" t="s">
        <v>77</v>
      </c>
      <c r="K36" s="652" t="s">
        <v>77</v>
      </c>
      <c r="L36" s="654">
        <f>6*10*H36</f>
        <v>30000</v>
      </c>
      <c r="M36" s="652" t="s">
        <v>77</v>
      </c>
      <c r="N36" s="652" t="s">
        <v>77</v>
      </c>
      <c r="O36" s="654">
        <f>6*10*H36</f>
        <v>30000</v>
      </c>
      <c r="P36" s="652" t="s">
        <v>77</v>
      </c>
      <c r="Q36" s="654">
        <f>6*7*H36</f>
        <v>21000</v>
      </c>
      <c r="R36" s="652" t="s">
        <v>77</v>
      </c>
      <c r="S36" s="652" t="s">
        <v>77</v>
      </c>
      <c r="T36" s="652" t="s">
        <v>77</v>
      </c>
      <c r="U36" s="651">
        <f t="shared" si="0"/>
        <v>81000</v>
      </c>
      <c r="V36" s="650"/>
    </row>
    <row r="37" spans="1:40" s="620" customFormat="1" ht="90" x14ac:dyDescent="0.2">
      <c r="A37" s="926"/>
      <c r="B37" s="660" t="s">
        <v>1195</v>
      </c>
      <c r="C37" s="659" t="s">
        <v>50</v>
      </c>
      <c r="D37" s="658" t="s">
        <v>111</v>
      </c>
      <c r="E37" s="658" t="s">
        <v>69</v>
      </c>
      <c r="F37" s="657" t="s">
        <v>112</v>
      </c>
      <c r="G37" s="656">
        <v>13</v>
      </c>
      <c r="H37" s="655">
        <v>4100</v>
      </c>
      <c r="I37" s="652" t="s">
        <v>77</v>
      </c>
      <c r="J37" s="652" t="s">
        <v>77</v>
      </c>
      <c r="K37" s="652" t="s">
        <v>77</v>
      </c>
      <c r="L37" s="654" t="s">
        <v>77</v>
      </c>
      <c r="M37" s="652" t="s">
        <v>77</v>
      </c>
      <c r="N37" s="652" t="s">
        <v>77</v>
      </c>
      <c r="O37" s="652" t="s">
        <v>77</v>
      </c>
      <c r="P37" s="652" t="s">
        <v>77</v>
      </c>
      <c r="Q37" s="652" t="s">
        <v>77</v>
      </c>
      <c r="R37" s="652" t="s">
        <v>77</v>
      </c>
      <c r="S37" s="654">
        <f>5*G37*H37</f>
        <v>266500</v>
      </c>
      <c r="T37" s="652" t="s">
        <v>77</v>
      </c>
      <c r="U37" s="651">
        <f t="shared" si="0"/>
        <v>266500</v>
      </c>
      <c r="V37" s="650"/>
    </row>
    <row r="38" spans="1:40" s="620" customFormat="1" ht="60" x14ac:dyDescent="0.2">
      <c r="A38" s="926"/>
      <c r="B38" s="660" t="s">
        <v>1194</v>
      </c>
      <c r="C38" s="659" t="s">
        <v>50</v>
      </c>
      <c r="D38" s="658" t="s">
        <v>111</v>
      </c>
      <c r="E38" s="658" t="s">
        <v>69</v>
      </c>
      <c r="F38" s="657" t="s">
        <v>112</v>
      </c>
      <c r="G38" s="656">
        <v>12</v>
      </c>
      <c r="H38" s="655">
        <v>500</v>
      </c>
      <c r="I38" s="652" t="s">
        <v>77</v>
      </c>
      <c r="J38" s="652" t="s">
        <v>77</v>
      </c>
      <c r="K38" s="652" t="s">
        <v>77</v>
      </c>
      <c r="L38" s="654" t="s">
        <v>77</v>
      </c>
      <c r="M38" s="652" t="s">
        <v>77</v>
      </c>
      <c r="N38" s="652" t="s">
        <v>77</v>
      </c>
      <c r="O38" s="652" t="s">
        <v>77</v>
      </c>
      <c r="P38" s="652" t="s">
        <v>77</v>
      </c>
      <c r="Q38" s="652" t="s">
        <v>77</v>
      </c>
      <c r="R38" s="654">
        <f>5*G38*H38</f>
        <v>30000</v>
      </c>
      <c r="S38" s="652" t="s">
        <v>77</v>
      </c>
      <c r="T38" s="652" t="s">
        <v>77</v>
      </c>
      <c r="U38" s="651">
        <f t="shared" si="0"/>
        <v>30000</v>
      </c>
      <c r="V38" s="650"/>
    </row>
    <row r="39" spans="1:40" s="620" customFormat="1" ht="75" x14ac:dyDescent="0.2">
      <c r="A39" s="927"/>
      <c r="B39" s="660" t="s">
        <v>1193</v>
      </c>
      <c r="C39" s="659" t="s">
        <v>50</v>
      </c>
      <c r="D39" s="658" t="s">
        <v>111</v>
      </c>
      <c r="E39" s="658" t="s">
        <v>69</v>
      </c>
      <c r="F39" s="657" t="s">
        <v>112</v>
      </c>
      <c r="G39" s="656">
        <v>24</v>
      </c>
      <c r="H39" s="655">
        <v>4100</v>
      </c>
      <c r="I39" s="652" t="s">
        <v>77</v>
      </c>
      <c r="J39" s="652" t="s">
        <v>77</v>
      </c>
      <c r="K39" s="652" t="s">
        <v>77</v>
      </c>
      <c r="L39" s="654" t="s">
        <v>77</v>
      </c>
      <c r="M39" s="653">
        <f>12*H39*5</f>
        <v>246000</v>
      </c>
      <c r="N39" s="652" t="s">
        <v>670</v>
      </c>
      <c r="O39" s="652" t="s">
        <v>77</v>
      </c>
      <c r="P39" s="652" t="s">
        <v>77</v>
      </c>
      <c r="Q39" s="653">
        <f>12*H39*5</f>
        <v>246000</v>
      </c>
      <c r="R39" s="652" t="s">
        <v>77</v>
      </c>
      <c r="S39" s="652" t="s">
        <v>77</v>
      </c>
      <c r="T39" s="652" t="s">
        <v>77</v>
      </c>
      <c r="U39" s="651">
        <f t="shared" si="0"/>
        <v>492000</v>
      </c>
      <c r="V39" s="650"/>
    </row>
    <row r="40" spans="1:40" s="620" customFormat="1" ht="60" x14ac:dyDescent="0.2">
      <c r="A40" s="929" t="s">
        <v>1210</v>
      </c>
      <c r="B40" s="624" t="s">
        <v>1192</v>
      </c>
      <c r="C40" s="616" t="s">
        <v>50</v>
      </c>
      <c r="D40" s="616" t="s">
        <v>68</v>
      </c>
      <c r="E40" s="649" t="s">
        <v>69</v>
      </c>
      <c r="F40" s="648" t="s">
        <v>70</v>
      </c>
      <c r="G40" s="647">
        <v>150</v>
      </c>
      <c r="H40" s="645">
        <v>4100</v>
      </c>
      <c r="I40" s="646">
        <v>0</v>
      </c>
      <c r="J40" s="646">
        <v>0</v>
      </c>
      <c r="K40" s="646">
        <v>0</v>
      </c>
      <c r="L40" s="646">
        <v>0</v>
      </c>
      <c r="M40" s="646">
        <v>0</v>
      </c>
      <c r="N40" s="646">
        <v>0</v>
      </c>
      <c r="O40" s="646">
        <v>0</v>
      </c>
      <c r="P40" s="646">
        <v>0</v>
      </c>
      <c r="Q40" s="645">
        <f>+G40/3*H40</f>
        <v>205000</v>
      </c>
      <c r="R40" s="645">
        <f>G40/3*H40</f>
        <v>205000</v>
      </c>
      <c r="S40" s="645">
        <f>G40/3*H40</f>
        <v>205000</v>
      </c>
      <c r="T40" s="646">
        <v>0</v>
      </c>
      <c r="U40" s="645">
        <f t="shared" si="0"/>
        <v>615000</v>
      </c>
      <c r="V40" s="622"/>
    </row>
    <row r="41" spans="1:40" s="620" customFormat="1" ht="75" x14ac:dyDescent="0.2">
      <c r="A41" s="930"/>
      <c r="B41" s="624" t="s">
        <v>1191</v>
      </c>
      <c r="C41" s="616" t="s">
        <v>486</v>
      </c>
      <c r="D41" s="616" t="s">
        <v>668</v>
      </c>
      <c r="E41" s="649" t="s">
        <v>110</v>
      </c>
      <c r="F41" s="648" t="s">
        <v>95</v>
      </c>
      <c r="G41" s="647">
        <v>1</v>
      </c>
      <c r="H41" s="645">
        <v>490000</v>
      </c>
      <c r="I41" s="646" t="s">
        <v>77</v>
      </c>
      <c r="J41" s="646" t="s">
        <v>77</v>
      </c>
      <c r="K41" s="646" t="s">
        <v>77</v>
      </c>
      <c r="L41" s="646">
        <v>490000</v>
      </c>
      <c r="M41" s="646" t="s">
        <v>77</v>
      </c>
      <c r="N41" s="646" t="s">
        <v>77</v>
      </c>
      <c r="O41" s="646" t="s">
        <v>77</v>
      </c>
      <c r="P41" s="646" t="s">
        <v>77</v>
      </c>
      <c r="Q41" s="645" t="s">
        <v>77</v>
      </c>
      <c r="R41" s="645" t="s">
        <v>77</v>
      </c>
      <c r="S41" s="645" t="s">
        <v>77</v>
      </c>
      <c r="T41" s="646" t="s">
        <v>77</v>
      </c>
      <c r="U41" s="645">
        <f t="shared" si="0"/>
        <v>490000</v>
      </c>
      <c r="V41" s="622"/>
    </row>
    <row r="42" spans="1:40" s="615" customFormat="1" ht="14.25" customHeight="1" x14ac:dyDescent="0.2">
      <c r="A42" s="644"/>
      <c r="B42" s="643"/>
      <c r="C42" s="643"/>
      <c r="D42" s="643"/>
      <c r="E42" s="630"/>
      <c r="F42" s="643"/>
      <c r="G42" s="643"/>
      <c r="H42" s="642"/>
      <c r="I42" s="641">
        <f t="shared" ref="I42:T42" si="2">SUM(I24:I40)</f>
        <v>0</v>
      </c>
      <c r="J42" s="641">
        <f t="shared" si="2"/>
        <v>0</v>
      </c>
      <c r="K42" s="641">
        <f t="shared" si="2"/>
        <v>0</v>
      </c>
      <c r="L42" s="641">
        <f t="shared" si="2"/>
        <v>94900</v>
      </c>
      <c r="M42" s="641">
        <f t="shared" si="2"/>
        <v>246000</v>
      </c>
      <c r="N42" s="641">
        <f t="shared" si="2"/>
        <v>0</v>
      </c>
      <c r="O42" s="641">
        <f t="shared" si="2"/>
        <v>30000</v>
      </c>
      <c r="P42" s="641">
        <f t="shared" si="2"/>
        <v>0</v>
      </c>
      <c r="Q42" s="641">
        <f t="shared" si="2"/>
        <v>472000</v>
      </c>
      <c r="R42" s="641">
        <f t="shared" si="2"/>
        <v>235000</v>
      </c>
      <c r="S42" s="641">
        <f t="shared" si="2"/>
        <v>481500</v>
      </c>
      <c r="T42" s="641">
        <f t="shared" si="2"/>
        <v>0</v>
      </c>
      <c r="U42" s="640">
        <f>SUM(U24:U41)</f>
        <v>2049400</v>
      </c>
      <c r="V42" s="639"/>
      <c r="W42" s="620"/>
      <c r="X42" s="620"/>
      <c r="Y42" s="620"/>
      <c r="Z42" s="620"/>
      <c r="AA42" s="620"/>
      <c r="AB42" s="620"/>
      <c r="AC42" s="620"/>
      <c r="AD42" s="620"/>
      <c r="AE42" s="620"/>
      <c r="AF42" s="620"/>
      <c r="AG42" s="620"/>
      <c r="AH42" s="620"/>
      <c r="AI42" s="620"/>
      <c r="AJ42" s="620"/>
      <c r="AK42" s="620"/>
      <c r="AL42" s="620"/>
      <c r="AM42" s="620"/>
      <c r="AN42" s="620"/>
    </row>
    <row r="43" spans="1:40" ht="15" x14ac:dyDescent="0.2">
      <c r="A43" s="611"/>
      <c r="B43" s="611"/>
      <c r="C43" s="611"/>
      <c r="D43" s="611"/>
      <c r="E43" s="638"/>
      <c r="F43" s="611"/>
      <c r="G43" s="611"/>
      <c r="H43" s="637"/>
      <c r="I43" s="611"/>
      <c r="J43" s="611"/>
      <c r="K43" s="611"/>
      <c r="L43" s="611"/>
      <c r="M43" s="611"/>
      <c r="N43" s="611"/>
      <c r="O43" s="611"/>
      <c r="P43" s="611"/>
      <c r="Q43" s="611"/>
      <c r="R43" s="611"/>
      <c r="S43" s="611"/>
      <c r="T43" s="611"/>
      <c r="U43" s="611"/>
    </row>
    <row r="44" spans="1:40" ht="15" x14ac:dyDescent="0.2">
      <c r="A44" s="611"/>
      <c r="B44" s="611"/>
      <c r="C44" s="611"/>
      <c r="D44" s="611"/>
      <c r="E44" s="638"/>
      <c r="F44" s="611"/>
      <c r="G44" s="611"/>
      <c r="H44" s="637"/>
      <c r="I44" s="611"/>
      <c r="J44" s="611"/>
      <c r="K44" s="611"/>
      <c r="L44" s="611"/>
      <c r="M44" s="611"/>
      <c r="N44" s="611"/>
      <c r="O44" s="611"/>
      <c r="P44" s="611"/>
      <c r="Q44" s="611"/>
      <c r="R44" s="611"/>
      <c r="S44" s="611"/>
      <c r="T44" s="611"/>
      <c r="U44" s="611"/>
    </row>
    <row r="45" spans="1:40" ht="15" x14ac:dyDescent="0.2">
      <c r="A45" s="611"/>
      <c r="B45" s="611"/>
      <c r="C45" s="611"/>
      <c r="D45" s="611"/>
      <c r="E45" s="638"/>
      <c r="F45" s="611"/>
      <c r="G45" s="611"/>
      <c r="H45" s="637"/>
      <c r="I45" s="611"/>
      <c r="J45" s="611"/>
      <c r="K45" s="611"/>
      <c r="L45" s="611"/>
      <c r="M45" s="611"/>
      <c r="N45" s="611"/>
      <c r="O45" s="611"/>
      <c r="P45" s="611"/>
      <c r="Q45" s="611"/>
      <c r="R45" s="611"/>
      <c r="S45" s="611"/>
      <c r="T45" s="611"/>
      <c r="U45" s="611"/>
    </row>
    <row r="48" spans="1:40" ht="15.75" x14ac:dyDescent="0.25">
      <c r="C48" s="900"/>
      <c r="D48" s="900"/>
      <c r="E48" s="126"/>
      <c r="F48" s="101"/>
      <c r="G48" s="101"/>
      <c r="H48" s="476"/>
      <c r="I48" s="476"/>
      <c r="J48" s="900"/>
      <c r="K48" s="900"/>
      <c r="L48" s="900"/>
      <c r="M48" s="900"/>
      <c r="N48" s="101"/>
      <c r="O48" s="476"/>
      <c r="P48" s="476"/>
      <c r="Q48" s="101"/>
      <c r="R48" s="853"/>
      <c r="S48" s="853"/>
      <c r="T48" s="853"/>
    </row>
    <row r="49" spans="3:20" ht="15.75" x14ac:dyDescent="0.25">
      <c r="C49" s="901" t="s">
        <v>1049</v>
      </c>
      <c r="D49" s="901"/>
      <c r="E49" s="126"/>
      <c r="F49" s="101"/>
      <c r="G49" s="101"/>
      <c r="I49" s="477"/>
      <c r="J49" s="901" t="s">
        <v>536</v>
      </c>
      <c r="K49" s="901"/>
      <c r="L49" s="901"/>
      <c r="M49" s="901"/>
      <c r="N49" s="101"/>
      <c r="O49" s="477"/>
      <c r="P49" s="101"/>
      <c r="Q49" s="477"/>
      <c r="R49" s="901" t="s">
        <v>537</v>
      </c>
      <c r="S49" s="901"/>
      <c r="T49" s="901"/>
    </row>
    <row r="50" spans="3:20" ht="15.75" customHeight="1" x14ac:dyDescent="0.25">
      <c r="C50" s="897" t="s">
        <v>1212</v>
      </c>
      <c r="D50" s="897"/>
      <c r="E50" s="126"/>
      <c r="F50" s="101"/>
      <c r="G50" s="101"/>
      <c r="I50" s="694"/>
      <c r="J50" s="898" t="s">
        <v>546</v>
      </c>
      <c r="K50" s="898"/>
      <c r="L50" s="898"/>
      <c r="M50" s="898"/>
      <c r="N50" s="101"/>
      <c r="O50" s="476"/>
      <c r="P50" s="101"/>
      <c r="Q50" s="476"/>
      <c r="R50" s="899" t="s">
        <v>538</v>
      </c>
      <c r="S50" s="899"/>
      <c r="T50" s="899"/>
    </row>
  </sheetData>
  <mergeCells count="32">
    <mergeCell ref="F22:F23"/>
    <mergeCell ref="V22:V23"/>
    <mergeCell ref="A24:A39"/>
    <mergeCell ref="B25:B35"/>
    <mergeCell ref="A40:A41"/>
    <mergeCell ref="G22:G23"/>
    <mergeCell ref="H22:H23"/>
    <mergeCell ref="I22:K22"/>
    <mergeCell ref="L22:N22"/>
    <mergeCell ref="O22:Q22"/>
    <mergeCell ref="R22:T22"/>
    <mergeCell ref="A22:A23"/>
    <mergeCell ref="B22:B23"/>
    <mergeCell ref="C22:C23"/>
    <mergeCell ref="D22:D23"/>
    <mergeCell ref="E22:E23"/>
    <mergeCell ref="A13:V13"/>
    <mergeCell ref="A14:V14"/>
    <mergeCell ref="A15:V15"/>
    <mergeCell ref="C50:D50"/>
    <mergeCell ref="R50:T50"/>
    <mergeCell ref="J48:M48"/>
    <mergeCell ref="J49:M49"/>
    <mergeCell ref="J50:M50"/>
    <mergeCell ref="C48:D48"/>
    <mergeCell ref="R48:T48"/>
    <mergeCell ref="C49:D49"/>
    <mergeCell ref="R49:T49"/>
    <mergeCell ref="U22:U23"/>
    <mergeCell ref="B18:V18"/>
    <mergeCell ref="B19:V19"/>
    <mergeCell ref="B20:V20"/>
  </mergeCells>
  <pageMargins left="0.23622047244094491" right="0.23622047244094491" top="0.39370078740157483" bottom="0.39370078740157483" header="0.31496062992125984" footer="0.31496062992125984"/>
  <pageSetup paperSize="5" scale="31" fitToHeight="0" orientation="landscape" r:id="rId1"/>
  <headerFooter>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00416-0A64-4B46-80A3-6B7B7362F89F}">
  <sheetPr>
    <pageSetUpPr fitToPage="1"/>
  </sheetPr>
  <dimension ref="A1:U42"/>
  <sheetViews>
    <sheetView topLeftCell="A25" workbookViewId="0"/>
  </sheetViews>
  <sheetFormatPr defaultColWidth="8.85546875" defaultRowHeight="15" x14ac:dyDescent="0.25"/>
  <cols>
    <col min="1" max="1" width="59.42578125" customWidth="1"/>
    <col min="2" max="2" width="49.42578125" customWidth="1"/>
    <col min="3" max="3" width="28.140625" customWidth="1"/>
    <col min="4" max="4" width="14" customWidth="1"/>
    <col min="5" max="5" width="12.28515625" customWidth="1"/>
    <col min="6" max="6" width="37.7109375" customWidth="1"/>
    <col min="7" max="18" width="15" customWidth="1"/>
    <col min="19" max="19" width="25.42578125" customWidth="1"/>
    <col min="20" max="20" width="20.7109375" customWidth="1"/>
    <col min="21" max="21" width="23" customWidth="1"/>
  </cols>
  <sheetData>
    <row r="1" spans="1:21" x14ac:dyDescent="0.25">
      <c r="A1" s="10"/>
      <c r="B1" s="10"/>
      <c r="C1" s="10"/>
      <c r="D1" s="10"/>
      <c r="E1" s="10"/>
      <c r="F1" s="10"/>
      <c r="G1" s="10"/>
      <c r="H1" s="10"/>
      <c r="I1" s="10"/>
      <c r="J1" s="959"/>
      <c r="K1" s="959"/>
      <c r="L1" s="10"/>
      <c r="M1" s="959"/>
      <c r="N1" s="959"/>
      <c r="O1" s="10"/>
      <c r="P1" s="10"/>
      <c r="Q1" s="10"/>
      <c r="R1" s="10"/>
      <c r="S1" s="10"/>
      <c r="T1" s="10"/>
      <c r="U1" s="10"/>
    </row>
    <row r="2" spans="1:21" ht="12.75" customHeight="1" x14ac:dyDescent="0.25">
      <c r="A2" s="10"/>
      <c r="B2" s="10"/>
      <c r="C2" s="10"/>
      <c r="D2" s="10"/>
      <c r="E2" s="10"/>
      <c r="F2" s="10"/>
      <c r="G2" s="10"/>
      <c r="H2" s="10"/>
      <c r="I2" s="10"/>
      <c r="J2" s="959"/>
      <c r="K2" s="959"/>
      <c r="L2" s="10"/>
      <c r="M2" s="959"/>
      <c r="N2" s="959"/>
      <c r="O2" s="10"/>
      <c r="P2" s="10"/>
      <c r="Q2" s="10"/>
      <c r="R2" s="10"/>
      <c r="S2" s="10"/>
      <c r="T2" s="10"/>
      <c r="U2" s="10"/>
    </row>
    <row r="3" spans="1:21" x14ac:dyDescent="0.25">
      <c r="A3" s="10"/>
      <c r="B3" s="10"/>
      <c r="C3" s="10"/>
      <c r="D3" s="10"/>
      <c r="E3" s="10"/>
      <c r="F3" s="10"/>
      <c r="G3" s="10"/>
      <c r="H3" s="10"/>
      <c r="I3" s="10"/>
      <c r="J3" s="959"/>
      <c r="K3" s="959"/>
      <c r="L3" s="10"/>
      <c r="M3" s="959"/>
      <c r="N3" s="959"/>
      <c r="O3" s="10"/>
      <c r="P3" s="10"/>
      <c r="Q3" s="10"/>
      <c r="R3" s="10"/>
      <c r="S3" s="10"/>
      <c r="T3" s="10"/>
      <c r="U3" s="10"/>
    </row>
    <row r="4" spans="1:21" x14ac:dyDescent="0.25">
      <c r="A4" s="10"/>
      <c r="B4" s="10"/>
      <c r="C4" s="10"/>
      <c r="D4" s="10"/>
      <c r="E4" s="10"/>
      <c r="F4" s="10"/>
      <c r="G4" s="10"/>
      <c r="H4" s="10"/>
      <c r="I4" s="10"/>
      <c r="J4" s="959"/>
      <c r="K4" s="959"/>
      <c r="L4" s="10"/>
      <c r="M4" s="959"/>
      <c r="N4" s="959"/>
      <c r="O4" s="10"/>
      <c r="P4" s="10"/>
      <c r="Q4" s="10"/>
      <c r="R4" s="10"/>
      <c r="S4" s="10"/>
      <c r="T4" s="10"/>
      <c r="U4" s="10"/>
    </row>
    <row r="5" spans="1:21" x14ac:dyDescent="0.25">
      <c r="A5" s="10"/>
      <c r="B5" s="10"/>
      <c r="C5" s="10"/>
      <c r="D5" s="10"/>
      <c r="E5" s="10"/>
      <c r="F5" s="10"/>
      <c r="G5" s="10"/>
      <c r="H5" s="10"/>
      <c r="I5" s="10"/>
      <c r="J5" s="959"/>
      <c r="K5" s="959"/>
      <c r="L5" s="10"/>
      <c r="M5" s="959"/>
      <c r="N5" s="959"/>
      <c r="O5" s="10"/>
      <c r="P5" s="10"/>
      <c r="Q5" s="10"/>
      <c r="R5" s="10"/>
      <c r="S5" s="10"/>
      <c r="T5" s="10"/>
      <c r="U5" s="10"/>
    </row>
    <row r="6" spans="1:21" x14ac:dyDescent="0.25">
      <c r="A6" s="10"/>
      <c r="B6" s="10"/>
      <c r="C6" s="10"/>
      <c r="D6" s="10"/>
      <c r="E6" s="10"/>
      <c r="F6" s="10"/>
      <c r="G6" s="10"/>
      <c r="H6" s="10"/>
      <c r="I6" s="10"/>
      <c r="J6" s="959"/>
      <c r="K6" s="959"/>
      <c r="L6" s="10"/>
      <c r="M6" s="959"/>
      <c r="N6" s="959"/>
      <c r="O6" s="10"/>
      <c r="P6" s="10"/>
      <c r="Q6" s="10"/>
      <c r="R6" s="10"/>
      <c r="S6" s="10"/>
      <c r="T6" s="10"/>
      <c r="U6" s="10"/>
    </row>
    <row r="7" spans="1:21" x14ac:dyDescent="0.25">
      <c r="A7" s="10"/>
      <c r="B7" s="10"/>
      <c r="C7" s="10"/>
      <c r="D7" s="10"/>
      <c r="E7" s="10"/>
      <c r="F7" s="10"/>
      <c r="G7" s="10"/>
      <c r="H7" s="10"/>
      <c r="I7" s="10"/>
      <c r="J7" s="10"/>
      <c r="K7" s="10"/>
      <c r="L7" s="10"/>
      <c r="M7" s="10"/>
      <c r="N7" s="10"/>
      <c r="O7" s="10"/>
      <c r="P7" s="10"/>
      <c r="Q7" s="10"/>
      <c r="R7" s="10"/>
      <c r="S7" s="10"/>
      <c r="T7" s="10"/>
      <c r="U7" s="10"/>
    </row>
    <row r="8" spans="1:21" x14ac:dyDescent="0.25">
      <c r="A8" s="10"/>
      <c r="B8" s="10"/>
      <c r="C8" s="10"/>
      <c r="D8" s="10"/>
      <c r="E8" s="10"/>
      <c r="F8" s="10"/>
      <c r="G8" s="10"/>
      <c r="H8" s="10"/>
      <c r="I8" s="10"/>
      <c r="J8" s="10"/>
      <c r="K8" s="10"/>
      <c r="L8" s="10"/>
      <c r="M8" s="10"/>
      <c r="N8" s="10"/>
      <c r="O8" s="10"/>
      <c r="P8" s="10"/>
      <c r="Q8" s="10"/>
      <c r="R8" s="10"/>
      <c r="S8" s="10"/>
      <c r="T8" s="10"/>
      <c r="U8" s="10"/>
    </row>
    <row r="9" spans="1:21" x14ac:dyDescent="0.25">
      <c r="A9" s="10"/>
      <c r="B9" s="10"/>
      <c r="C9" s="10"/>
      <c r="D9" s="10"/>
      <c r="E9" s="10"/>
      <c r="F9" s="10"/>
      <c r="G9" s="10"/>
      <c r="H9" s="10"/>
      <c r="I9" s="10"/>
      <c r="J9" s="10"/>
      <c r="K9" s="10"/>
      <c r="L9" s="10"/>
      <c r="M9" s="10"/>
      <c r="N9" s="10"/>
      <c r="O9" s="10"/>
      <c r="P9" s="10"/>
      <c r="Q9" s="10"/>
      <c r="R9" s="10"/>
      <c r="S9" s="10"/>
      <c r="T9" s="10"/>
      <c r="U9" s="10"/>
    </row>
    <row r="10" spans="1:21" x14ac:dyDescent="0.25">
      <c r="A10" s="10"/>
      <c r="B10" s="10"/>
      <c r="C10" s="10"/>
      <c r="D10" s="10"/>
      <c r="E10" s="10"/>
      <c r="F10" s="10"/>
      <c r="G10" s="10"/>
      <c r="H10" s="10"/>
      <c r="I10" s="10"/>
      <c r="J10" s="10"/>
      <c r="K10" s="10"/>
      <c r="L10" s="10"/>
      <c r="M10" s="10"/>
      <c r="N10" s="10"/>
      <c r="O10" s="10"/>
      <c r="P10" s="10"/>
      <c r="Q10" s="10"/>
      <c r="R10" s="10"/>
      <c r="S10" s="10"/>
      <c r="T10" s="10"/>
      <c r="U10" s="10"/>
    </row>
    <row r="11" spans="1:21" ht="19.5" x14ac:dyDescent="0.25">
      <c r="A11" s="960" t="s">
        <v>0</v>
      </c>
      <c r="B11" s="960"/>
      <c r="C11" s="960"/>
      <c r="D11" s="960"/>
      <c r="E11" s="960"/>
      <c r="F11" s="960"/>
      <c r="G11" s="960"/>
      <c r="H11" s="960"/>
      <c r="I11" s="960"/>
      <c r="J11" s="960"/>
      <c r="K11" s="960"/>
      <c r="L11" s="960"/>
      <c r="M11" s="960"/>
      <c r="N11" s="960"/>
      <c r="O11" s="960"/>
      <c r="P11" s="960"/>
      <c r="Q11" s="960"/>
      <c r="R11" s="960"/>
      <c r="S11" s="960"/>
      <c r="T11" s="960"/>
      <c r="U11" s="960"/>
    </row>
    <row r="12" spans="1:21" ht="19.5" x14ac:dyDescent="0.25">
      <c r="A12" s="960" t="s">
        <v>1</v>
      </c>
      <c r="B12" s="960"/>
      <c r="C12" s="960"/>
      <c r="D12" s="960"/>
      <c r="E12" s="960"/>
      <c r="F12" s="960"/>
      <c r="G12" s="960"/>
      <c r="H12" s="960"/>
      <c r="I12" s="960"/>
      <c r="J12" s="960"/>
      <c r="K12" s="960"/>
      <c r="L12" s="960"/>
      <c r="M12" s="960"/>
      <c r="N12" s="960"/>
      <c r="O12" s="960"/>
      <c r="P12" s="960"/>
      <c r="Q12" s="960"/>
      <c r="R12" s="960"/>
      <c r="S12" s="960"/>
      <c r="T12" s="960"/>
      <c r="U12" s="960"/>
    </row>
    <row r="13" spans="1:21" ht="19.5" x14ac:dyDescent="0.25">
      <c r="A13" s="11"/>
      <c r="B13" s="11"/>
      <c r="C13" s="11"/>
      <c r="D13" s="11"/>
      <c r="E13" s="11"/>
      <c r="F13" s="11"/>
      <c r="G13" s="11"/>
      <c r="H13" s="11"/>
      <c r="I13" s="11"/>
      <c r="J13" s="11"/>
      <c r="K13" s="11"/>
      <c r="L13" s="11"/>
      <c r="M13" s="11"/>
      <c r="N13" s="11"/>
      <c r="O13" s="11"/>
      <c r="P13" s="11"/>
      <c r="Q13" s="11"/>
      <c r="R13" s="11"/>
      <c r="S13" s="11"/>
      <c r="T13" s="11"/>
      <c r="U13" s="10"/>
    </row>
    <row r="14" spans="1:21" s="13" customFormat="1" x14ac:dyDescent="0.2">
      <c r="A14" s="155" t="s">
        <v>282</v>
      </c>
      <c r="B14" s="961" t="s">
        <v>113</v>
      </c>
      <c r="C14" s="961"/>
      <c r="D14" s="961"/>
      <c r="E14" s="961"/>
      <c r="F14" s="961"/>
      <c r="G14" s="961"/>
      <c r="H14" s="961"/>
      <c r="I14" s="961"/>
      <c r="J14" s="961"/>
      <c r="K14" s="961"/>
      <c r="L14" s="961"/>
      <c r="M14" s="961"/>
      <c r="N14" s="961"/>
      <c r="O14" s="961"/>
      <c r="P14" s="961"/>
      <c r="Q14" s="961"/>
      <c r="R14" s="961"/>
      <c r="S14" s="961"/>
      <c r="T14" s="961"/>
      <c r="U14" s="961"/>
    </row>
    <row r="15" spans="1:21" s="13" customFormat="1" x14ac:dyDescent="0.2">
      <c r="A15" s="155" t="s">
        <v>3</v>
      </c>
      <c r="B15" s="961" t="s">
        <v>114</v>
      </c>
      <c r="C15" s="961"/>
      <c r="D15" s="961"/>
      <c r="E15" s="961"/>
      <c r="F15" s="961"/>
      <c r="G15" s="961"/>
      <c r="H15" s="961"/>
      <c r="I15" s="961"/>
      <c r="J15" s="961"/>
      <c r="K15" s="961"/>
      <c r="L15" s="961"/>
      <c r="M15" s="961"/>
      <c r="N15" s="961"/>
      <c r="O15" s="961"/>
      <c r="P15" s="961"/>
      <c r="Q15" s="961"/>
      <c r="R15" s="961"/>
      <c r="S15" s="961"/>
      <c r="T15" s="961"/>
      <c r="U15" s="961"/>
    </row>
    <row r="16" spans="1:21" s="13" customFormat="1" x14ac:dyDescent="0.2">
      <c r="A16" s="155" t="s">
        <v>5</v>
      </c>
      <c r="B16" s="961" t="s">
        <v>115</v>
      </c>
      <c r="C16" s="961"/>
      <c r="D16" s="961"/>
      <c r="E16" s="961"/>
      <c r="F16" s="961"/>
      <c r="G16" s="961"/>
      <c r="H16" s="961"/>
      <c r="I16" s="961"/>
      <c r="J16" s="961"/>
      <c r="K16" s="961"/>
      <c r="L16" s="961"/>
      <c r="M16" s="961"/>
      <c r="N16" s="961"/>
      <c r="O16" s="961"/>
      <c r="P16" s="961"/>
      <c r="Q16" s="961"/>
      <c r="R16" s="961"/>
      <c r="S16" s="961"/>
      <c r="T16" s="961"/>
      <c r="U16" s="961"/>
    </row>
    <row r="17" spans="1:21" s="13" customFormat="1" x14ac:dyDescent="0.2">
      <c r="A17" s="207"/>
      <c r="B17" s="207"/>
      <c r="C17" s="207"/>
      <c r="D17" s="207"/>
      <c r="E17" s="207"/>
      <c r="F17" s="207"/>
      <c r="G17" s="207"/>
      <c r="H17" s="207"/>
      <c r="I17" s="207"/>
      <c r="J17" s="958"/>
      <c r="K17" s="958"/>
      <c r="L17" s="207"/>
      <c r="M17" s="958"/>
      <c r="N17" s="958"/>
      <c r="O17" s="207"/>
      <c r="P17" s="207"/>
      <c r="Q17" s="207"/>
      <c r="R17" s="207"/>
      <c r="S17" s="207"/>
      <c r="T17" s="207"/>
      <c r="U17" s="12"/>
    </row>
    <row r="18" spans="1:21" s="13" customFormat="1" ht="18" customHeight="1" x14ac:dyDescent="0.2">
      <c r="A18" s="949" t="s">
        <v>6</v>
      </c>
      <c r="B18" s="949" t="s">
        <v>7</v>
      </c>
      <c r="C18" s="949" t="s">
        <v>8</v>
      </c>
      <c r="D18" s="951" t="s">
        <v>9</v>
      </c>
      <c r="E18" s="952"/>
      <c r="F18" s="949" t="s">
        <v>10</v>
      </c>
      <c r="G18" s="953" t="s">
        <v>11</v>
      </c>
      <c r="H18" s="954"/>
      <c r="I18" s="955"/>
      <c r="J18" s="953" t="s">
        <v>12</v>
      </c>
      <c r="K18" s="954"/>
      <c r="L18" s="955"/>
      <c r="M18" s="953" t="s">
        <v>13</v>
      </c>
      <c r="N18" s="954"/>
      <c r="O18" s="955"/>
      <c r="P18" s="953" t="s">
        <v>14</v>
      </c>
      <c r="Q18" s="954"/>
      <c r="R18" s="955"/>
      <c r="S18" s="956" t="s">
        <v>15</v>
      </c>
      <c r="T18" s="956" t="s">
        <v>16</v>
      </c>
      <c r="U18" s="845" t="s">
        <v>232</v>
      </c>
    </row>
    <row r="19" spans="1:21" s="13" customFormat="1" ht="30" x14ac:dyDescent="0.2">
      <c r="A19" s="950"/>
      <c r="B19" s="950"/>
      <c r="C19" s="950"/>
      <c r="D19" s="209" t="s">
        <v>17</v>
      </c>
      <c r="E19" s="210" t="s">
        <v>18</v>
      </c>
      <c r="F19" s="950"/>
      <c r="G19" s="208" t="s">
        <v>19</v>
      </c>
      <c r="H19" s="208" t="s">
        <v>20</v>
      </c>
      <c r="I19" s="208" t="s">
        <v>21</v>
      </c>
      <c r="J19" s="208" t="s">
        <v>22</v>
      </c>
      <c r="K19" s="208" t="s">
        <v>23</v>
      </c>
      <c r="L19" s="208" t="s">
        <v>24</v>
      </c>
      <c r="M19" s="208" t="s">
        <v>25</v>
      </c>
      <c r="N19" s="208" t="s">
        <v>26</v>
      </c>
      <c r="O19" s="208" t="s">
        <v>27</v>
      </c>
      <c r="P19" s="208" t="s">
        <v>28</v>
      </c>
      <c r="Q19" s="208" t="s">
        <v>29</v>
      </c>
      <c r="R19" s="208" t="s">
        <v>30</v>
      </c>
      <c r="S19" s="957"/>
      <c r="T19" s="957"/>
      <c r="U19" s="845"/>
    </row>
    <row r="20" spans="1:21" s="13" customFormat="1" ht="99.75" customHeight="1" x14ac:dyDescent="0.2">
      <c r="A20" s="895" t="s">
        <v>958</v>
      </c>
      <c r="B20" s="189" t="s">
        <v>116</v>
      </c>
      <c r="C20" s="189" t="s">
        <v>117</v>
      </c>
      <c r="D20" s="187" t="s">
        <v>31</v>
      </c>
      <c r="E20" s="188">
        <v>1</v>
      </c>
      <c r="F20" s="189" t="s">
        <v>959</v>
      </c>
      <c r="G20" s="211">
        <v>0.08</v>
      </c>
      <c r="H20" s="211">
        <v>0.08</v>
      </c>
      <c r="I20" s="211">
        <v>0.08</v>
      </c>
      <c r="J20" s="211">
        <v>0.08</v>
      </c>
      <c r="K20" s="211">
        <v>0.08</v>
      </c>
      <c r="L20" s="211">
        <v>0.08</v>
      </c>
      <c r="M20" s="211">
        <v>0.08</v>
      </c>
      <c r="N20" s="211">
        <v>0.08</v>
      </c>
      <c r="O20" s="211">
        <v>0.08</v>
      </c>
      <c r="P20" s="211">
        <v>0.08</v>
      </c>
      <c r="Q20" s="211">
        <v>0.08</v>
      </c>
      <c r="R20" s="211">
        <v>0.08</v>
      </c>
      <c r="S20" s="935">
        <f>SUM('Presupuesto Adm. y Financie '!U23:U47)</f>
        <v>8533194</v>
      </c>
      <c r="T20" s="938" t="s">
        <v>118</v>
      </c>
      <c r="U20" s="938"/>
    </row>
    <row r="21" spans="1:21" s="13" customFormat="1" ht="72" customHeight="1" x14ac:dyDescent="0.2">
      <c r="A21" s="934"/>
      <c r="B21" s="189" t="s">
        <v>119</v>
      </c>
      <c r="C21" s="189" t="s">
        <v>117</v>
      </c>
      <c r="D21" s="187" t="s">
        <v>31</v>
      </c>
      <c r="E21" s="188">
        <v>1</v>
      </c>
      <c r="F21" s="189" t="s">
        <v>960</v>
      </c>
      <c r="G21" s="211">
        <v>0.08</v>
      </c>
      <c r="H21" s="211">
        <v>0.08</v>
      </c>
      <c r="I21" s="211">
        <v>0.08</v>
      </c>
      <c r="J21" s="211">
        <v>0.08</v>
      </c>
      <c r="K21" s="211">
        <v>0.08</v>
      </c>
      <c r="L21" s="211">
        <v>0.08</v>
      </c>
      <c r="M21" s="211">
        <v>0.08</v>
      </c>
      <c r="N21" s="211">
        <v>0.08</v>
      </c>
      <c r="O21" s="211">
        <v>0.08</v>
      </c>
      <c r="P21" s="211">
        <v>0.08</v>
      </c>
      <c r="Q21" s="211">
        <v>0.08</v>
      </c>
      <c r="R21" s="211">
        <v>0.08</v>
      </c>
      <c r="S21" s="936"/>
      <c r="T21" s="939"/>
      <c r="U21" s="939"/>
    </row>
    <row r="22" spans="1:21" s="13" customFormat="1" ht="80.25" customHeight="1" x14ac:dyDescent="0.2">
      <c r="A22" s="896"/>
      <c r="B22" s="189" t="s">
        <v>120</v>
      </c>
      <c r="C22" s="189" t="s">
        <v>117</v>
      </c>
      <c r="D22" s="187" t="s">
        <v>31</v>
      </c>
      <c r="E22" s="188">
        <v>0.9</v>
      </c>
      <c r="F22" s="189" t="s">
        <v>961</v>
      </c>
      <c r="G22" s="212"/>
      <c r="H22" s="212"/>
      <c r="I22" s="211">
        <v>0.9</v>
      </c>
      <c r="J22" s="212"/>
      <c r="K22" s="212"/>
      <c r="L22" s="211">
        <v>0.9</v>
      </c>
      <c r="M22" s="212"/>
      <c r="N22" s="212"/>
      <c r="O22" s="211">
        <v>0.9</v>
      </c>
      <c r="P22" s="212"/>
      <c r="Q22" s="212"/>
      <c r="R22" s="211">
        <v>0.9</v>
      </c>
      <c r="S22" s="937"/>
      <c r="T22" s="940"/>
      <c r="U22" s="940"/>
    </row>
    <row r="23" spans="1:21" s="13" customFormat="1" ht="49.5" customHeight="1" x14ac:dyDescent="0.2">
      <c r="A23" s="213" t="s">
        <v>962</v>
      </c>
      <c r="B23" s="214" t="s">
        <v>121</v>
      </c>
      <c r="C23" s="215" t="s">
        <v>122</v>
      </c>
      <c r="D23" s="216" t="s">
        <v>31</v>
      </c>
      <c r="E23" s="217">
        <v>1</v>
      </c>
      <c r="F23" s="214" t="s">
        <v>963</v>
      </c>
      <c r="G23" s="218"/>
      <c r="H23" s="218"/>
      <c r="I23" s="218"/>
      <c r="J23" s="218"/>
      <c r="K23" s="218"/>
      <c r="L23" s="219">
        <v>1</v>
      </c>
      <c r="M23" s="218"/>
      <c r="N23" s="218"/>
      <c r="O23" s="218"/>
      <c r="P23" s="218"/>
      <c r="Q23" s="218"/>
      <c r="R23" s="219">
        <v>1</v>
      </c>
      <c r="S23" s="220">
        <f>+'Presupuesto Adm. y Financie '!U48</f>
        <v>35000</v>
      </c>
      <c r="T23" s="216" t="s">
        <v>118</v>
      </c>
      <c r="U23" s="358"/>
    </row>
    <row r="24" spans="1:21" s="2" customFormat="1" ht="150" x14ac:dyDescent="0.2">
      <c r="A24" s="132" t="s">
        <v>964</v>
      </c>
      <c r="B24" s="132" t="s">
        <v>487</v>
      </c>
      <c r="C24" s="132" t="s">
        <v>488</v>
      </c>
      <c r="D24" s="131" t="s">
        <v>18</v>
      </c>
      <c r="E24" s="131">
        <v>12</v>
      </c>
      <c r="F24" s="132" t="s">
        <v>965</v>
      </c>
      <c r="G24" s="131">
        <v>1</v>
      </c>
      <c r="H24" s="131">
        <v>1</v>
      </c>
      <c r="I24" s="131">
        <v>1</v>
      </c>
      <c r="J24" s="131">
        <v>1</v>
      </c>
      <c r="K24" s="131">
        <v>1</v>
      </c>
      <c r="L24" s="131">
        <v>1</v>
      </c>
      <c r="M24" s="131">
        <v>1</v>
      </c>
      <c r="N24" s="131">
        <v>1</v>
      </c>
      <c r="O24" s="131">
        <v>1</v>
      </c>
      <c r="P24" s="131">
        <v>1</v>
      </c>
      <c r="Q24" s="131">
        <v>1</v>
      </c>
      <c r="R24" s="131">
        <v>1</v>
      </c>
      <c r="S24" s="221">
        <v>0</v>
      </c>
      <c r="T24" s="131" t="s">
        <v>249</v>
      </c>
      <c r="U24" s="131"/>
    </row>
    <row r="25" spans="1:21" s="2" customFormat="1" ht="59.25" customHeight="1" x14ac:dyDescent="0.2">
      <c r="A25" s="120" t="s">
        <v>966</v>
      </c>
      <c r="B25" s="149" t="s">
        <v>489</v>
      </c>
      <c r="C25" s="149" t="s">
        <v>490</v>
      </c>
      <c r="D25" s="135" t="s">
        <v>18</v>
      </c>
      <c r="E25" s="135">
        <v>20</v>
      </c>
      <c r="F25" s="149" t="s">
        <v>967</v>
      </c>
      <c r="G25" s="135"/>
      <c r="H25" s="135"/>
      <c r="I25" s="135"/>
      <c r="J25" s="135"/>
      <c r="K25" s="135"/>
      <c r="L25" s="135">
        <v>10</v>
      </c>
      <c r="M25" s="135"/>
      <c r="N25" s="135"/>
      <c r="O25" s="135"/>
      <c r="P25" s="135"/>
      <c r="Q25" s="135"/>
      <c r="R25" s="135">
        <v>10</v>
      </c>
      <c r="S25" s="222">
        <f>SUM('Presupuesto Adm. y Financie '!U49:U50)</f>
        <v>48900</v>
      </c>
      <c r="T25" s="143" t="s">
        <v>491</v>
      </c>
      <c r="U25" s="21"/>
    </row>
    <row r="26" spans="1:21" s="2" customFormat="1" ht="49.5" customHeight="1" x14ac:dyDescent="0.2">
      <c r="A26" s="941" t="s">
        <v>968</v>
      </c>
      <c r="B26" s="941" t="s">
        <v>492</v>
      </c>
      <c r="C26" s="941" t="s">
        <v>493</v>
      </c>
      <c r="D26" s="942" t="s">
        <v>31</v>
      </c>
      <c r="E26" s="943">
        <v>0.9</v>
      </c>
      <c r="F26" s="132" t="s">
        <v>969</v>
      </c>
      <c r="G26" s="131"/>
      <c r="H26" s="131"/>
      <c r="I26" s="223">
        <v>0.9</v>
      </c>
      <c r="J26" s="131"/>
      <c r="K26" s="131"/>
      <c r="L26" s="223">
        <v>0.9</v>
      </c>
      <c r="M26" s="131"/>
      <c r="N26" s="131"/>
      <c r="O26" s="223">
        <v>0.9</v>
      </c>
      <c r="P26" s="223"/>
      <c r="Q26" s="223"/>
      <c r="R26" s="223">
        <v>0.9</v>
      </c>
      <c r="S26" s="946">
        <f>+'Presupuesto Adm. y Financie '!U51</f>
        <v>100000</v>
      </c>
      <c r="T26" s="859" t="s">
        <v>494</v>
      </c>
      <c r="U26" s="859"/>
    </row>
    <row r="27" spans="1:21" s="2" customFormat="1" ht="54.75" customHeight="1" x14ac:dyDescent="0.2">
      <c r="A27" s="941"/>
      <c r="B27" s="941"/>
      <c r="C27" s="941"/>
      <c r="D27" s="942"/>
      <c r="E27" s="943"/>
      <c r="F27" s="132" t="s">
        <v>970</v>
      </c>
      <c r="G27" s="131"/>
      <c r="H27" s="131"/>
      <c r="I27" s="223">
        <v>0.9</v>
      </c>
      <c r="J27" s="131"/>
      <c r="K27" s="131"/>
      <c r="L27" s="223">
        <v>0.9</v>
      </c>
      <c r="M27" s="131"/>
      <c r="N27" s="131"/>
      <c r="O27" s="223">
        <v>0.9</v>
      </c>
      <c r="P27" s="223"/>
      <c r="Q27" s="223"/>
      <c r="R27" s="223">
        <v>0.9</v>
      </c>
      <c r="S27" s="947"/>
      <c r="T27" s="860"/>
      <c r="U27" s="860"/>
    </row>
    <row r="28" spans="1:21" s="2" customFormat="1" ht="54" customHeight="1" x14ac:dyDescent="0.2">
      <c r="A28" s="941"/>
      <c r="B28" s="941"/>
      <c r="C28" s="941"/>
      <c r="D28" s="942"/>
      <c r="E28" s="943"/>
      <c r="F28" s="132" t="s">
        <v>971</v>
      </c>
      <c r="G28" s="131"/>
      <c r="H28" s="131"/>
      <c r="I28" s="223">
        <v>0.9</v>
      </c>
      <c r="J28" s="131"/>
      <c r="K28" s="131"/>
      <c r="L28" s="223">
        <v>0.9</v>
      </c>
      <c r="M28" s="131"/>
      <c r="N28" s="131"/>
      <c r="O28" s="223">
        <v>0.9</v>
      </c>
      <c r="P28" s="223"/>
      <c r="Q28" s="223"/>
      <c r="R28" s="223">
        <v>0.9</v>
      </c>
      <c r="S28" s="947"/>
      <c r="T28" s="860"/>
      <c r="U28" s="860"/>
    </row>
    <row r="29" spans="1:21" s="2" customFormat="1" ht="45" x14ac:dyDescent="0.2">
      <c r="A29" s="941"/>
      <c r="B29" s="941"/>
      <c r="C29" s="941"/>
      <c r="D29" s="942"/>
      <c r="E29" s="943"/>
      <c r="F29" s="132" t="s">
        <v>972</v>
      </c>
      <c r="G29" s="131"/>
      <c r="H29" s="131"/>
      <c r="I29" s="223">
        <v>0.9</v>
      </c>
      <c r="J29" s="131"/>
      <c r="K29" s="131"/>
      <c r="L29" s="223">
        <v>0.9</v>
      </c>
      <c r="M29" s="131"/>
      <c r="N29" s="131"/>
      <c r="O29" s="223">
        <v>0.9</v>
      </c>
      <c r="P29" s="223"/>
      <c r="Q29" s="223"/>
      <c r="R29" s="223">
        <v>0.9</v>
      </c>
      <c r="S29" s="948"/>
      <c r="T29" s="876"/>
      <c r="U29" s="876"/>
    </row>
    <row r="30" spans="1:21" ht="76.5" customHeight="1" x14ac:dyDescent="0.25">
      <c r="A30" s="944" t="s">
        <v>973</v>
      </c>
      <c r="B30" s="214" t="s">
        <v>548</v>
      </c>
      <c r="C30" s="719" t="s">
        <v>549</v>
      </c>
      <c r="D30" s="718" t="s">
        <v>550</v>
      </c>
      <c r="E30" s="717" t="s">
        <v>551</v>
      </c>
      <c r="F30" s="224" t="s">
        <v>974</v>
      </c>
      <c r="G30" s="716"/>
      <c r="H30" s="716"/>
      <c r="I30" s="225">
        <v>1</v>
      </c>
      <c r="J30" s="715"/>
      <c r="K30" s="715"/>
      <c r="L30" s="225">
        <v>1</v>
      </c>
      <c r="M30" s="715"/>
      <c r="N30" s="715"/>
      <c r="O30" s="225">
        <v>1</v>
      </c>
      <c r="P30" s="715"/>
      <c r="Q30" s="715"/>
      <c r="R30" s="225">
        <v>1</v>
      </c>
      <c r="S30" s="945">
        <f>SUM('Presupuesto Adm. y Financie '!U52:U63)</f>
        <v>15022665</v>
      </c>
      <c r="T30" s="933" t="s">
        <v>118</v>
      </c>
      <c r="U30" s="933"/>
    </row>
    <row r="31" spans="1:21" ht="69" customHeight="1" x14ac:dyDescent="0.25">
      <c r="A31" s="944"/>
      <c r="B31" s="718" t="s">
        <v>552</v>
      </c>
      <c r="C31" s="719" t="s">
        <v>549</v>
      </c>
      <c r="D31" s="718" t="s">
        <v>550</v>
      </c>
      <c r="E31" s="717" t="s">
        <v>551</v>
      </c>
      <c r="F31" s="224" t="s">
        <v>975</v>
      </c>
      <c r="G31" s="716"/>
      <c r="H31" s="716"/>
      <c r="I31" s="225">
        <v>1</v>
      </c>
      <c r="J31" s="715"/>
      <c r="K31" s="715"/>
      <c r="L31" s="225">
        <v>1</v>
      </c>
      <c r="M31" s="715"/>
      <c r="N31" s="715"/>
      <c r="O31" s="225">
        <v>1</v>
      </c>
      <c r="P31" s="715"/>
      <c r="Q31" s="715"/>
      <c r="R31" s="225">
        <v>1</v>
      </c>
      <c r="S31" s="945"/>
      <c r="T31" s="933"/>
      <c r="U31" s="933"/>
    </row>
    <row r="32" spans="1:21" ht="75.75" customHeight="1" x14ac:dyDescent="0.25">
      <c r="A32" s="944"/>
      <c r="B32" s="718" t="s">
        <v>553</v>
      </c>
      <c r="C32" s="718" t="s">
        <v>554</v>
      </c>
      <c r="D32" s="718" t="s">
        <v>550</v>
      </c>
      <c r="E32" s="717" t="s">
        <v>551</v>
      </c>
      <c r="F32" s="224" t="s">
        <v>976</v>
      </c>
      <c r="G32" s="716"/>
      <c r="H32" s="716"/>
      <c r="I32" s="225">
        <v>1</v>
      </c>
      <c r="J32" s="715"/>
      <c r="K32" s="715"/>
      <c r="L32" s="225">
        <v>1</v>
      </c>
      <c r="M32" s="715"/>
      <c r="N32" s="715"/>
      <c r="O32" s="225">
        <v>1</v>
      </c>
      <c r="P32" s="715"/>
      <c r="Q32" s="715"/>
      <c r="R32" s="225">
        <v>1</v>
      </c>
      <c r="S32" s="945"/>
      <c r="T32" s="933"/>
      <c r="U32" s="933"/>
    </row>
    <row r="33" spans="1:21" x14ac:dyDescent="0.25">
      <c r="A33" s="438"/>
      <c r="B33" s="438"/>
      <c r="C33" s="438"/>
      <c r="D33" s="438"/>
      <c r="E33" s="438"/>
      <c r="F33" s="438"/>
      <c r="G33" s="438"/>
      <c r="H33" s="438"/>
      <c r="I33" s="438"/>
      <c r="J33" s="438"/>
      <c r="K33" s="438"/>
      <c r="L33" s="438"/>
      <c r="M33" s="438"/>
      <c r="N33" s="438"/>
      <c r="O33" s="438"/>
      <c r="P33" s="438"/>
      <c r="Q33" s="438"/>
      <c r="R33" s="438"/>
      <c r="S33" s="450">
        <f>SUM(S20:S32)</f>
        <v>23739759</v>
      </c>
      <c r="T33" s="438"/>
      <c r="U33" s="438"/>
    </row>
    <row r="34" spans="1:21" ht="15.75" x14ac:dyDescent="0.25">
      <c r="A34" s="476"/>
      <c r="B34" s="476"/>
      <c r="C34" s="476"/>
      <c r="D34" s="476"/>
      <c r="E34" s="476"/>
      <c r="F34" s="476"/>
      <c r="G34" s="476"/>
      <c r="H34" s="476"/>
      <c r="I34" s="476"/>
      <c r="J34" s="476"/>
      <c r="K34" s="476"/>
      <c r="L34" s="476"/>
      <c r="M34" s="476"/>
      <c r="N34" s="476"/>
      <c r="O34" s="476"/>
      <c r="P34" s="476"/>
      <c r="Q34" s="476"/>
      <c r="R34" s="476"/>
      <c r="S34" s="714"/>
      <c r="T34" s="476"/>
    </row>
    <row r="40" spans="1:21" ht="15.75" x14ac:dyDescent="0.25">
      <c r="C40" s="900"/>
      <c r="D40" s="900"/>
      <c r="E40" s="900"/>
      <c r="F40" s="101"/>
      <c r="G40" s="101"/>
      <c r="H40" s="476"/>
      <c r="I40" s="478"/>
      <c r="J40" s="478"/>
      <c r="K40" s="478"/>
      <c r="L40" s="478"/>
      <c r="M40" s="476"/>
      <c r="N40" s="101"/>
      <c r="O40" s="476"/>
      <c r="P40" s="476"/>
      <c r="Q40" s="101"/>
      <c r="R40" s="853"/>
      <c r="S40" s="853"/>
      <c r="T40" s="853"/>
    </row>
    <row r="41" spans="1:21" ht="15.75" x14ac:dyDescent="0.25">
      <c r="C41" s="901" t="s">
        <v>1050</v>
      </c>
      <c r="D41" s="901"/>
      <c r="E41" s="901"/>
      <c r="F41" s="101"/>
      <c r="G41" s="101"/>
      <c r="H41" s="932" t="s">
        <v>536</v>
      </c>
      <c r="I41" s="901"/>
      <c r="J41" s="901"/>
      <c r="K41" s="901"/>
      <c r="L41" s="901"/>
      <c r="M41" s="932"/>
      <c r="N41" s="101"/>
      <c r="O41" s="477"/>
      <c r="P41" s="101"/>
      <c r="Q41" s="477"/>
      <c r="R41" s="901" t="s">
        <v>537</v>
      </c>
      <c r="S41" s="901"/>
      <c r="T41" s="901"/>
    </row>
    <row r="42" spans="1:21" ht="15.75" x14ac:dyDescent="0.25">
      <c r="C42" s="931" t="s">
        <v>1051</v>
      </c>
      <c r="D42" s="931"/>
      <c r="E42" s="931"/>
      <c r="F42" s="101"/>
      <c r="G42" s="101"/>
      <c r="H42" s="897" t="s">
        <v>546</v>
      </c>
      <c r="I42" s="897"/>
      <c r="J42" s="897"/>
      <c r="K42" s="897"/>
      <c r="L42" s="897"/>
      <c r="M42" s="897"/>
      <c r="N42" s="101"/>
      <c r="O42" s="476"/>
      <c r="P42" s="101"/>
      <c r="Q42" s="476"/>
      <c r="R42" s="931" t="s">
        <v>538</v>
      </c>
      <c r="S42" s="931"/>
      <c r="T42" s="931"/>
    </row>
  </sheetData>
  <mergeCells count="55">
    <mergeCell ref="J1:K1"/>
    <mergeCell ref="M1:N1"/>
    <mergeCell ref="J2:K2"/>
    <mergeCell ref="M2:N2"/>
    <mergeCell ref="J3:K3"/>
    <mergeCell ref="M3:N3"/>
    <mergeCell ref="J17:K17"/>
    <mergeCell ref="M17:N17"/>
    <mergeCell ref="J4:K4"/>
    <mergeCell ref="M4:N4"/>
    <mergeCell ref="J5:K5"/>
    <mergeCell ref="M5:N5"/>
    <mergeCell ref="J6:K6"/>
    <mergeCell ref="M6:N6"/>
    <mergeCell ref="A11:U11"/>
    <mergeCell ref="A12:U12"/>
    <mergeCell ref="B14:U14"/>
    <mergeCell ref="B15:U15"/>
    <mergeCell ref="B16:U16"/>
    <mergeCell ref="A30:A32"/>
    <mergeCell ref="S30:S32"/>
    <mergeCell ref="T30:T32"/>
    <mergeCell ref="S26:S29"/>
    <mergeCell ref="U18:U19"/>
    <mergeCell ref="A18:A19"/>
    <mergeCell ref="B18:B19"/>
    <mergeCell ref="C18:C19"/>
    <mergeCell ref="D18:E18"/>
    <mergeCell ref="F18:F19"/>
    <mergeCell ref="G18:I18"/>
    <mergeCell ref="J18:L18"/>
    <mergeCell ref="M18:O18"/>
    <mergeCell ref="P18:R18"/>
    <mergeCell ref="S18:S19"/>
    <mergeCell ref="T18:T19"/>
    <mergeCell ref="A20:A22"/>
    <mergeCell ref="S20:S22"/>
    <mergeCell ref="T20:T22"/>
    <mergeCell ref="U20:U22"/>
    <mergeCell ref="A26:A29"/>
    <mergeCell ref="B26:B29"/>
    <mergeCell ref="C26:C29"/>
    <mergeCell ref="D26:D29"/>
    <mergeCell ref="E26:E29"/>
    <mergeCell ref="C42:E42"/>
    <mergeCell ref="H42:M42"/>
    <mergeCell ref="R42:T42"/>
    <mergeCell ref="T26:T29"/>
    <mergeCell ref="U26:U29"/>
    <mergeCell ref="C40:E40"/>
    <mergeCell ref="R40:T40"/>
    <mergeCell ref="C41:E41"/>
    <mergeCell ref="H41:M41"/>
    <mergeCell ref="R41:T41"/>
    <mergeCell ref="U30:U32"/>
  </mergeCells>
  <pageMargins left="0.23622047244094491" right="0.23622047244094491" top="0.39370078740157483" bottom="0.39370078740157483" header="0.31496062992125984" footer="0.31496062992125984"/>
  <pageSetup paperSize="5" scale="38" fitToHeight="0" orientation="landscape" r:id="rId1"/>
  <headerFooter>
    <oddFooter>&amp;CPágina &amp;P de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01D0-7BB8-4F3E-9921-53F0E69C44FB}">
  <sheetPr>
    <pageSetUpPr fitToPage="1"/>
  </sheetPr>
  <dimension ref="A2:V80"/>
  <sheetViews>
    <sheetView tabSelected="1" topLeftCell="A26" zoomScale="75" zoomScaleNormal="75" workbookViewId="0">
      <selection activeCell="H35" sqref="H35"/>
    </sheetView>
  </sheetViews>
  <sheetFormatPr defaultColWidth="57.42578125" defaultRowHeight="14.25" x14ac:dyDescent="0.2"/>
  <cols>
    <col min="1" max="1" width="42.42578125" style="5" customWidth="1"/>
    <col min="2" max="2" width="34.42578125" style="2" customWidth="1"/>
    <col min="3" max="3" width="21.42578125" style="5" customWidth="1"/>
    <col min="4" max="4" width="34.140625" style="2" customWidth="1"/>
    <col min="5" max="5" width="12.7109375" style="8" customWidth="1"/>
    <col min="6" max="6" width="23.7109375" style="2" bestFit="1" customWidth="1"/>
    <col min="7" max="7" width="13" style="2" bestFit="1" customWidth="1"/>
    <col min="8" max="8" width="18.140625" style="9" customWidth="1"/>
    <col min="9" max="9" width="14.5703125" style="2" customWidth="1"/>
    <col min="10" max="10" width="17.42578125" style="2" customWidth="1"/>
    <col min="11" max="11" width="17.7109375" style="2" customWidth="1"/>
    <col min="12" max="12" width="19.7109375" style="2" customWidth="1"/>
    <col min="13" max="13" width="20.7109375" style="2" bestFit="1" customWidth="1"/>
    <col min="14" max="14" width="20.42578125" style="2" bestFit="1" customWidth="1"/>
    <col min="15" max="15" width="21.28515625" style="2" customWidth="1"/>
    <col min="16" max="16" width="18.28515625" style="2" bestFit="1" customWidth="1"/>
    <col min="17" max="17" width="20.7109375" style="2" customWidth="1"/>
    <col min="18" max="18" width="20.140625" style="2" customWidth="1"/>
    <col min="19" max="19" width="18.28515625" style="2" bestFit="1" customWidth="1"/>
    <col min="20" max="20" width="20.28515625" style="2" customWidth="1"/>
    <col min="21" max="21" width="23.28515625" style="2" customWidth="1"/>
    <col min="22" max="22" width="20.7109375" style="14" customWidth="1"/>
    <col min="23" max="16384" width="57.42578125" style="2"/>
  </cols>
  <sheetData>
    <row r="2" spans="1:22" ht="12.75" customHeight="1" x14ac:dyDescent="0.2"/>
    <row r="13" spans="1:22" s="62" customFormat="1" ht="19.5" x14ac:dyDescent="0.25">
      <c r="A13" s="858" t="s">
        <v>0</v>
      </c>
      <c r="B13" s="858"/>
      <c r="C13" s="858"/>
      <c r="D13" s="858"/>
      <c r="E13" s="858"/>
      <c r="F13" s="858"/>
      <c r="G13" s="858"/>
      <c r="H13" s="858"/>
      <c r="I13" s="858"/>
      <c r="J13" s="858"/>
      <c r="K13" s="858"/>
      <c r="L13" s="858"/>
      <c r="M13" s="858"/>
      <c r="N13" s="858"/>
      <c r="O13" s="858"/>
      <c r="P13" s="858"/>
      <c r="Q13" s="858"/>
      <c r="R13" s="858"/>
      <c r="S13" s="858"/>
      <c r="T13" s="858"/>
      <c r="U13" s="858"/>
      <c r="V13" s="858"/>
    </row>
    <row r="14" spans="1:22" s="62" customFormat="1" ht="19.5" x14ac:dyDescent="0.25">
      <c r="A14" s="858" t="s">
        <v>1</v>
      </c>
      <c r="B14" s="858"/>
      <c r="C14" s="858"/>
      <c r="D14" s="858"/>
      <c r="E14" s="858"/>
      <c r="F14" s="858"/>
      <c r="G14" s="858"/>
      <c r="H14" s="858"/>
      <c r="I14" s="858"/>
      <c r="J14" s="858"/>
      <c r="K14" s="858"/>
      <c r="L14" s="858"/>
      <c r="M14" s="858"/>
      <c r="N14" s="858"/>
      <c r="O14" s="858"/>
      <c r="P14" s="858"/>
      <c r="Q14" s="858"/>
      <c r="R14" s="858"/>
      <c r="S14" s="858"/>
      <c r="T14" s="858"/>
      <c r="U14" s="858"/>
      <c r="V14" s="858"/>
    </row>
    <row r="15" spans="1:22" s="62" customFormat="1" ht="19.5" x14ac:dyDescent="0.25">
      <c r="A15" s="858" t="s">
        <v>42</v>
      </c>
      <c r="B15" s="858"/>
      <c r="C15" s="858"/>
      <c r="D15" s="858"/>
      <c r="E15" s="858"/>
      <c r="F15" s="858"/>
      <c r="G15" s="858"/>
      <c r="H15" s="858"/>
      <c r="I15" s="858"/>
      <c r="J15" s="858"/>
      <c r="K15" s="858"/>
      <c r="L15" s="858"/>
      <c r="M15" s="858"/>
      <c r="N15" s="858"/>
      <c r="O15" s="858"/>
      <c r="P15" s="858"/>
      <c r="Q15" s="858"/>
      <c r="R15" s="858"/>
      <c r="S15" s="858"/>
      <c r="T15" s="858"/>
      <c r="U15" s="858"/>
      <c r="V15" s="858"/>
    </row>
    <row r="16" spans="1:22" s="62" customFormat="1" ht="19.5" x14ac:dyDescent="0.25">
      <c r="A16" s="540"/>
      <c r="B16" s="540"/>
      <c r="C16" s="540"/>
      <c r="D16" s="540"/>
      <c r="E16" s="540"/>
      <c r="F16" s="540"/>
      <c r="G16" s="540"/>
      <c r="H16" s="540"/>
      <c r="I16" s="540"/>
      <c r="J16" s="540"/>
      <c r="K16" s="540"/>
      <c r="L16" s="540"/>
      <c r="M16" s="540"/>
      <c r="N16" s="540"/>
      <c r="O16" s="540"/>
      <c r="P16" s="540"/>
      <c r="Q16" s="540"/>
      <c r="R16" s="540"/>
      <c r="S16" s="540"/>
      <c r="T16" s="540"/>
      <c r="U16" s="540"/>
      <c r="V16" s="540"/>
    </row>
    <row r="17" spans="1:22" s="58" customFormat="1" ht="15" x14ac:dyDescent="0.2">
      <c r="A17" s="155" t="s">
        <v>2</v>
      </c>
      <c r="B17" s="848" t="s">
        <v>113</v>
      </c>
      <c r="C17" s="848"/>
      <c r="D17" s="848"/>
      <c r="E17" s="848"/>
      <c r="F17" s="848"/>
      <c r="G17" s="848"/>
      <c r="H17" s="848"/>
      <c r="I17" s="848"/>
      <c r="J17" s="848"/>
      <c r="K17" s="848"/>
      <c r="L17" s="848"/>
      <c r="M17" s="848"/>
      <c r="N17" s="848"/>
      <c r="O17" s="848"/>
      <c r="P17" s="848"/>
      <c r="Q17" s="848"/>
      <c r="R17" s="848"/>
      <c r="S17" s="848"/>
      <c r="T17" s="848"/>
      <c r="U17" s="848"/>
      <c r="V17" s="848"/>
    </row>
    <row r="18" spans="1:22" s="58" customFormat="1" ht="15" x14ac:dyDescent="0.2">
      <c r="A18" s="155" t="s">
        <v>3</v>
      </c>
      <c r="B18" s="848" t="s">
        <v>114</v>
      </c>
      <c r="C18" s="848"/>
      <c r="D18" s="848"/>
      <c r="E18" s="848"/>
      <c r="F18" s="848"/>
      <c r="G18" s="848"/>
      <c r="H18" s="848"/>
      <c r="I18" s="848"/>
      <c r="J18" s="848"/>
      <c r="K18" s="848"/>
      <c r="L18" s="848"/>
      <c r="M18" s="848"/>
      <c r="N18" s="848"/>
      <c r="O18" s="848"/>
      <c r="P18" s="848"/>
      <c r="Q18" s="848"/>
      <c r="R18" s="848"/>
      <c r="S18" s="848"/>
      <c r="T18" s="848"/>
      <c r="U18" s="848"/>
      <c r="V18" s="848"/>
    </row>
    <row r="19" spans="1:22" s="58" customFormat="1" ht="15" x14ac:dyDescent="0.2">
      <c r="A19" s="155" t="s">
        <v>5</v>
      </c>
      <c r="B19" s="966" t="s">
        <v>123</v>
      </c>
      <c r="C19" s="967"/>
      <c r="D19" s="967"/>
      <c r="E19" s="967"/>
      <c r="F19" s="967"/>
      <c r="G19" s="967"/>
      <c r="H19" s="967"/>
      <c r="I19" s="967"/>
      <c r="J19" s="967"/>
      <c r="K19" s="967"/>
      <c r="L19" s="967"/>
      <c r="M19" s="967"/>
      <c r="N19" s="967"/>
      <c r="O19" s="967"/>
      <c r="P19" s="967"/>
      <c r="Q19" s="967"/>
      <c r="R19" s="967"/>
      <c r="S19" s="967"/>
      <c r="T19" s="967"/>
      <c r="U19" s="967"/>
      <c r="V19" s="968"/>
    </row>
    <row r="20" spans="1:22" s="58" customFormat="1" ht="14.25" customHeight="1" x14ac:dyDescent="0.2">
      <c r="A20" s="126"/>
      <c r="B20" s="101"/>
      <c r="C20" s="126"/>
      <c r="D20" s="101"/>
      <c r="E20" s="127"/>
      <c r="F20" s="101"/>
      <c r="G20" s="101"/>
      <c r="H20" s="128"/>
      <c r="I20" s="101"/>
      <c r="J20" s="101"/>
      <c r="K20" s="101"/>
      <c r="L20" s="101"/>
      <c r="M20" s="101"/>
      <c r="N20" s="101"/>
      <c r="O20" s="101"/>
      <c r="P20" s="101"/>
      <c r="Q20" s="101"/>
      <c r="R20" s="101"/>
      <c r="S20" s="101"/>
      <c r="T20" s="101"/>
      <c r="U20" s="101"/>
      <c r="V20" s="103"/>
    </row>
    <row r="21" spans="1:22" s="58" customFormat="1" ht="15" x14ac:dyDescent="0.2">
      <c r="A21" s="845" t="s">
        <v>6</v>
      </c>
      <c r="B21" s="845" t="s">
        <v>10</v>
      </c>
      <c r="C21" s="845" t="s">
        <v>43</v>
      </c>
      <c r="D21" s="845" t="s">
        <v>44</v>
      </c>
      <c r="E21" s="856" t="s">
        <v>45</v>
      </c>
      <c r="F21" s="845" t="s">
        <v>46</v>
      </c>
      <c r="G21" s="845" t="s">
        <v>47</v>
      </c>
      <c r="H21" s="845" t="s">
        <v>48</v>
      </c>
      <c r="I21" s="847" t="s">
        <v>11</v>
      </c>
      <c r="J21" s="847"/>
      <c r="K21" s="847"/>
      <c r="L21" s="847" t="s">
        <v>12</v>
      </c>
      <c r="M21" s="847"/>
      <c r="N21" s="847"/>
      <c r="O21" s="847" t="s">
        <v>13</v>
      </c>
      <c r="P21" s="847"/>
      <c r="Q21" s="847"/>
      <c r="R21" s="847" t="s">
        <v>14</v>
      </c>
      <c r="S21" s="847"/>
      <c r="T21" s="847"/>
      <c r="U21" s="845" t="s">
        <v>15</v>
      </c>
      <c r="V21" s="845" t="s">
        <v>49</v>
      </c>
    </row>
    <row r="22" spans="1:22" s="60" customFormat="1" ht="15" x14ac:dyDescent="0.25">
      <c r="A22" s="845"/>
      <c r="B22" s="845"/>
      <c r="C22" s="845"/>
      <c r="D22" s="845"/>
      <c r="E22" s="857"/>
      <c r="F22" s="845"/>
      <c r="G22" s="845"/>
      <c r="H22" s="845"/>
      <c r="I22" s="96" t="s">
        <v>19</v>
      </c>
      <c r="J22" s="96" t="s">
        <v>20</v>
      </c>
      <c r="K22" s="96" t="s">
        <v>21</v>
      </c>
      <c r="L22" s="96" t="s">
        <v>22</v>
      </c>
      <c r="M22" s="96" t="s">
        <v>23</v>
      </c>
      <c r="N22" s="96" t="s">
        <v>24</v>
      </c>
      <c r="O22" s="96" t="s">
        <v>25</v>
      </c>
      <c r="P22" s="96" t="s">
        <v>26</v>
      </c>
      <c r="Q22" s="96" t="s">
        <v>27</v>
      </c>
      <c r="R22" s="96" t="s">
        <v>28</v>
      </c>
      <c r="S22" s="96" t="s">
        <v>29</v>
      </c>
      <c r="T22" s="96" t="s">
        <v>30</v>
      </c>
      <c r="U22" s="845"/>
      <c r="V22" s="845"/>
    </row>
    <row r="23" spans="1:22" s="58" customFormat="1" ht="30" x14ac:dyDescent="0.2">
      <c r="A23" s="941" t="s">
        <v>958</v>
      </c>
      <c r="B23" s="941" t="s">
        <v>959</v>
      </c>
      <c r="C23" s="132" t="s">
        <v>50</v>
      </c>
      <c r="D23" s="226" t="s">
        <v>130</v>
      </c>
      <c r="E23" s="133" t="s">
        <v>69</v>
      </c>
      <c r="F23" s="133" t="s">
        <v>131</v>
      </c>
      <c r="G23" s="133">
        <v>36</v>
      </c>
      <c r="H23" s="227">
        <v>1750</v>
      </c>
      <c r="I23" s="228"/>
      <c r="J23" s="228"/>
      <c r="K23" s="227">
        <f>H23*8</f>
        <v>14000</v>
      </c>
      <c r="L23" s="228"/>
      <c r="M23" s="228"/>
      <c r="N23" s="227">
        <f>H23*10</f>
        <v>17500</v>
      </c>
      <c r="O23" s="228"/>
      <c r="P23" s="228"/>
      <c r="Q23" s="227">
        <f>H23*8</f>
        <v>14000</v>
      </c>
      <c r="R23" s="228"/>
      <c r="S23" s="228"/>
      <c r="T23" s="227">
        <f>H23*10</f>
        <v>17500</v>
      </c>
      <c r="U23" s="227">
        <f t="shared" ref="U23:U40" si="0">SUM(I23:T23)</f>
        <v>63000</v>
      </c>
      <c r="V23" s="133" t="s">
        <v>132</v>
      </c>
    </row>
    <row r="24" spans="1:22" s="58" customFormat="1" ht="45" x14ac:dyDescent="0.2">
      <c r="A24" s="941"/>
      <c r="B24" s="941"/>
      <c r="C24" s="132" t="s">
        <v>486</v>
      </c>
      <c r="D24" s="226" t="s">
        <v>133</v>
      </c>
      <c r="E24" s="133" t="s">
        <v>134</v>
      </c>
      <c r="F24" s="133" t="s">
        <v>128</v>
      </c>
      <c r="G24" s="133">
        <v>2</v>
      </c>
      <c r="H24" s="227">
        <v>125000</v>
      </c>
      <c r="I24" s="228"/>
      <c r="J24" s="228"/>
      <c r="K24" s="227"/>
      <c r="L24" s="228">
        <f>+[3]Sheet4!$D$5</f>
        <v>100000</v>
      </c>
      <c r="M24" s="228">
        <v>125000</v>
      </c>
      <c r="N24" s="227"/>
      <c r="O24" s="228"/>
      <c r="P24" s="228"/>
      <c r="Q24" s="227"/>
      <c r="R24" s="228"/>
      <c r="S24" s="228"/>
      <c r="T24" s="227"/>
      <c r="U24" s="227">
        <f t="shared" si="0"/>
        <v>225000</v>
      </c>
      <c r="V24" s="133" t="s">
        <v>132</v>
      </c>
    </row>
    <row r="25" spans="1:22" s="58" customFormat="1" ht="45" x14ac:dyDescent="0.2">
      <c r="A25" s="941"/>
      <c r="B25" s="941"/>
      <c r="C25" s="132" t="s">
        <v>486</v>
      </c>
      <c r="D25" s="132" t="s">
        <v>135</v>
      </c>
      <c r="E25" s="131" t="s">
        <v>136</v>
      </c>
      <c r="F25" s="133" t="s">
        <v>128</v>
      </c>
      <c r="G25" s="133">
        <v>1</v>
      </c>
      <c r="H25" s="227">
        <v>80000</v>
      </c>
      <c r="I25" s="228"/>
      <c r="J25" s="228"/>
      <c r="K25" s="228"/>
      <c r="L25" s="228"/>
      <c r="M25" s="228"/>
      <c r="N25" s="228"/>
      <c r="O25" s="228"/>
      <c r="P25" s="228"/>
      <c r="Q25" s="228"/>
      <c r="R25" s="228"/>
      <c r="S25" s="228"/>
      <c r="T25" s="227">
        <f>H25</f>
        <v>80000</v>
      </c>
      <c r="U25" s="227">
        <f t="shared" si="0"/>
        <v>80000</v>
      </c>
      <c r="V25" s="133" t="s">
        <v>132</v>
      </c>
    </row>
    <row r="26" spans="1:22" s="58" customFormat="1" ht="45" x14ac:dyDescent="0.2">
      <c r="A26" s="941"/>
      <c r="B26" s="941"/>
      <c r="C26" s="132" t="s">
        <v>486</v>
      </c>
      <c r="D26" s="132" t="s">
        <v>137</v>
      </c>
      <c r="E26" s="131" t="s">
        <v>52</v>
      </c>
      <c r="F26" s="133" t="s">
        <v>138</v>
      </c>
      <c r="G26" s="133">
        <v>25</v>
      </c>
      <c r="H26" s="227">
        <v>6000</v>
      </c>
      <c r="I26" s="228"/>
      <c r="J26" s="228"/>
      <c r="K26" s="227"/>
      <c r="L26" s="228"/>
      <c r="M26" s="228"/>
      <c r="N26" s="228"/>
      <c r="O26" s="228">
        <v>75000</v>
      </c>
      <c r="P26" s="228"/>
      <c r="Q26" s="228"/>
      <c r="R26" s="228"/>
      <c r="S26" s="228"/>
      <c r="T26" s="228">
        <v>75000</v>
      </c>
      <c r="U26" s="227">
        <f t="shared" si="0"/>
        <v>150000</v>
      </c>
      <c r="V26" s="133" t="s">
        <v>132</v>
      </c>
    </row>
    <row r="27" spans="1:22" s="58" customFormat="1" ht="30" x14ac:dyDescent="0.2">
      <c r="A27" s="941"/>
      <c r="B27" s="941"/>
      <c r="C27" s="132" t="s">
        <v>50</v>
      </c>
      <c r="D27" s="132" t="s">
        <v>140</v>
      </c>
      <c r="E27" s="131" t="s">
        <v>141</v>
      </c>
      <c r="F27" s="133" t="s">
        <v>128</v>
      </c>
      <c r="G27" s="133">
        <v>2</v>
      </c>
      <c r="H27" s="227">
        <v>125000</v>
      </c>
      <c r="I27" s="228"/>
      <c r="J27" s="228">
        <v>132000</v>
      </c>
      <c r="K27" s="227">
        <v>198000</v>
      </c>
      <c r="L27" s="228"/>
      <c r="M27" s="228"/>
      <c r="N27" s="228"/>
      <c r="O27" s="228"/>
      <c r="P27" s="228"/>
      <c r="Q27" s="228"/>
      <c r="R27" s="228"/>
      <c r="S27" s="228"/>
      <c r="T27" s="228"/>
      <c r="U27" s="227">
        <f t="shared" si="0"/>
        <v>330000</v>
      </c>
      <c r="V27" s="133" t="s">
        <v>132</v>
      </c>
    </row>
    <row r="28" spans="1:22" s="58" customFormat="1" ht="45" x14ac:dyDescent="0.2">
      <c r="A28" s="941"/>
      <c r="B28" s="941"/>
      <c r="C28" s="132" t="s">
        <v>486</v>
      </c>
      <c r="D28" s="132" t="s">
        <v>142</v>
      </c>
      <c r="E28" s="131" t="s">
        <v>143</v>
      </c>
      <c r="F28" s="133" t="s">
        <v>144</v>
      </c>
      <c r="G28" s="133">
        <v>1</v>
      </c>
      <c r="H28" s="227">
        <v>250000</v>
      </c>
      <c r="I28" s="228"/>
      <c r="J28" s="228"/>
      <c r="K28" s="228">
        <v>125000</v>
      </c>
      <c r="L28" s="228"/>
      <c r="M28" s="228"/>
      <c r="N28" s="228"/>
      <c r="O28" s="228"/>
      <c r="P28" s="228">
        <v>125000</v>
      </c>
      <c r="Q28" s="228"/>
      <c r="R28" s="228"/>
      <c r="S28" s="228"/>
      <c r="T28" s="228"/>
      <c r="U28" s="227">
        <f t="shared" si="0"/>
        <v>250000</v>
      </c>
      <c r="V28" s="133" t="s">
        <v>132</v>
      </c>
    </row>
    <row r="29" spans="1:22" s="58" customFormat="1" ht="45" x14ac:dyDescent="0.2">
      <c r="A29" s="941"/>
      <c r="B29" s="941"/>
      <c r="C29" s="132" t="s">
        <v>486</v>
      </c>
      <c r="D29" s="132" t="s">
        <v>145</v>
      </c>
      <c r="E29" s="131" t="s">
        <v>143</v>
      </c>
      <c r="F29" s="133" t="s">
        <v>144</v>
      </c>
      <c r="G29" s="133">
        <v>50</v>
      </c>
      <c r="H29" s="227">
        <v>4800</v>
      </c>
      <c r="I29" s="228"/>
      <c r="J29" s="228"/>
      <c r="K29" s="228">
        <v>120000</v>
      </c>
      <c r="L29" s="228"/>
      <c r="M29" s="228"/>
      <c r="N29" s="228"/>
      <c r="O29" s="228"/>
      <c r="P29" s="228"/>
      <c r="Q29" s="228">
        <v>120000</v>
      </c>
      <c r="R29" s="228"/>
      <c r="S29" s="228"/>
      <c r="T29" s="228"/>
      <c r="U29" s="227">
        <f t="shared" si="0"/>
        <v>240000</v>
      </c>
      <c r="V29" s="133" t="s">
        <v>132</v>
      </c>
    </row>
    <row r="30" spans="1:22" s="58" customFormat="1" ht="45" x14ac:dyDescent="0.2">
      <c r="A30" s="941"/>
      <c r="B30" s="941"/>
      <c r="C30" s="132" t="s">
        <v>486</v>
      </c>
      <c r="D30" s="132" t="s">
        <v>146</v>
      </c>
      <c r="E30" s="133" t="s">
        <v>147</v>
      </c>
      <c r="F30" s="133" t="s">
        <v>148</v>
      </c>
      <c r="G30" s="133">
        <v>1</v>
      </c>
      <c r="H30" s="227">
        <v>500000</v>
      </c>
      <c r="I30" s="228"/>
      <c r="J30" s="228"/>
      <c r="K30" s="228"/>
      <c r="L30" s="228"/>
      <c r="M30" s="228">
        <v>250000</v>
      </c>
      <c r="N30" s="228"/>
      <c r="O30" s="228"/>
      <c r="P30" s="228"/>
      <c r="Q30" s="228">
        <v>250000</v>
      </c>
      <c r="R30" s="228"/>
      <c r="S30" s="228"/>
      <c r="T30" s="228"/>
      <c r="U30" s="227">
        <f t="shared" si="0"/>
        <v>500000</v>
      </c>
      <c r="V30" s="133" t="s">
        <v>132</v>
      </c>
    </row>
    <row r="31" spans="1:22" s="58" customFormat="1" ht="45" x14ac:dyDescent="0.2">
      <c r="A31" s="941"/>
      <c r="B31" s="941"/>
      <c r="C31" s="132" t="s">
        <v>486</v>
      </c>
      <c r="D31" s="132" t="s">
        <v>1282</v>
      </c>
      <c r="E31" s="133" t="s">
        <v>143</v>
      </c>
      <c r="F31" s="133" t="s">
        <v>131</v>
      </c>
      <c r="G31" s="133">
        <v>1</v>
      </c>
      <c r="H31" s="227">
        <v>50000</v>
      </c>
      <c r="I31" s="228"/>
      <c r="J31" s="228"/>
      <c r="K31" s="228"/>
      <c r="L31" s="228"/>
      <c r="M31" s="228"/>
      <c r="N31" s="228"/>
      <c r="O31" s="228"/>
      <c r="P31" s="228"/>
      <c r="Q31" s="228">
        <v>50000</v>
      </c>
      <c r="R31" s="228"/>
      <c r="S31" s="228"/>
      <c r="T31" s="228"/>
      <c r="U31" s="227">
        <f t="shared" si="0"/>
        <v>50000</v>
      </c>
      <c r="V31" s="133" t="s">
        <v>132</v>
      </c>
    </row>
    <row r="32" spans="1:22" s="58" customFormat="1" ht="45" x14ac:dyDescent="0.2">
      <c r="A32" s="941"/>
      <c r="B32" s="941"/>
      <c r="C32" s="132" t="s">
        <v>486</v>
      </c>
      <c r="D32" s="132" t="s">
        <v>150</v>
      </c>
      <c r="E32" s="131" t="s">
        <v>151</v>
      </c>
      <c r="F32" s="133" t="s">
        <v>128</v>
      </c>
      <c r="G32" s="133">
        <v>1</v>
      </c>
      <c r="H32" s="227">
        <v>1000000</v>
      </c>
      <c r="I32" s="228"/>
      <c r="J32" s="228"/>
      <c r="K32" s="228">
        <v>500000</v>
      </c>
      <c r="L32" s="228"/>
      <c r="M32" s="228"/>
      <c r="N32" s="228"/>
      <c r="O32" s="228"/>
      <c r="P32" s="228"/>
      <c r="Q32" s="228">
        <v>500000</v>
      </c>
      <c r="R32" s="228"/>
      <c r="S32" s="228"/>
      <c r="T32" s="228"/>
      <c r="U32" s="227">
        <f t="shared" si="0"/>
        <v>1000000</v>
      </c>
      <c r="V32" s="133" t="s">
        <v>132</v>
      </c>
    </row>
    <row r="33" spans="1:22" s="58" customFormat="1" ht="45" x14ac:dyDescent="0.2">
      <c r="A33" s="941"/>
      <c r="B33" s="941"/>
      <c r="C33" s="132" t="s">
        <v>486</v>
      </c>
      <c r="D33" s="226" t="s">
        <v>152</v>
      </c>
      <c r="E33" s="132" t="s">
        <v>162</v>
      </c>
      <c r="F33" s="133" t="s">
        <v>131</v>
      </c>
      <c r="G33" s="133">
        <v>2</v>
      </c>
      <c r="H33" s="227">
        <v>21000</v>
      </c>
      <c r="I33" s="228"/>
      <c r="J33" s="228"/>
      <c r="K33" s="228"/>
      <c r="L33" s="228">
        <v>21000</v>
      </c>
      <c r="M33" s="228"/>
      <c r="N33" s="228"/>
      <c r="O33" s="228"/>
      <c r="P33" s="228"/>
      <c r="Q33" s="228">
        <v>21000</v>
      </c>
      <c r="R33" s="228"/>
      <c r="S33" s="228"/>
      <c r="T33" s="228"/>
      <c r="U33" s="227">
        <f t="shared" si="0"/>
        <v>42000</v>
      </c>
      <c r="V33" s="133" t="s">
        <v>132</v>
      </c>
    </row>
    <row r="34" spans="1:22" s="58" customFormat="1" ht="45" x14ac:dyDescent="0.2">
      <c r="A34" s="941"/>
      <c r="B34" s="941"/>
      <c r="C34" s="132" t="s">
        <v>486</v>
      </c>
      <c r="D34" s="132" t="s">
        <v>153</v>
      </c>
      <c r="E34" s="131" t="s">
        <v>55</v>
      </c>
      <c r="F34" s="133" t="s">
        <v>128</v>
      </c>
      <c r="G34" s="133">
        <v>1</v>
      </c>
      <c r="H34" s="227">
        <v>100000</v>
      </c>
      <c r="I34" s="228"/>
      <c r="J34" s="228"/>
      <c r="K34" s="228">
        <v>25000</v>
      </c>
      <c r="L34" s="228"/>
      <c r="M34" s="228"/>
      <c r="N34" s="228">
        <v>25000</v>
      </c>
      <c r="O34" s="228"/>
      <c r="P34" s="228"/>
      <c r="Q34" s="228">
        <v>25000</v>
      </c>
      <c r="R34" s="228"/>
      <c r="S34" s="228"/>
      <c r="T34" s="228">
        <v>25000</v>
      </c>
      <c r="U34" s="227">
        <f t="shared" si="0"/>
        <v>100000</v>
      </c>
      <c r="V34" s="133" t="s">
        <v>132</v>
      </c>
    </row>
    <row r="35" spans="1:22" s="58" customFormat="1" ht="36.75" customHeight="1" x14ac:dyDescent="0.2">
      <c r="A35" s="941"/>
      <c r="B35" s="905" t="s">
        <v>960</v>
      </c>
      <c r="C35" s="132" t="s">
        <v>50</v>
      </c>
      <c r="D35" s="132" t="s">
        <v>160</v>
      </c>
      <c r="E35" s="131" t="s">
        <v>151</v>
      </c>
      <c r="F35" s="133" t="s">
        <v>128</v>
      </c>
      <c r="G35" s="133">
        <v>1</v>
      </c>
      <c r="H35" s="233">
        <v>400000</v>
      </c>
      <c r="I35" s="228"/>
      <c r="J35" s="228"/>
      <c r="K35" s="228">
        <v>400000</v>
      </c>
      <c r="L35" s="228"/>
      <c r="M35" s="228"/>
      <c r="N35" s="228"/>
      <c r="O35" s="228"/>
      <c r="P35" s="228"/>
      <c r="Q35" s="228"/>
      <c r="R35" s="228"/>
      <c r="S35" s="228"/>
      <c r="T35" s="228"/>
      <c r="U35" s="227">
        <f t="shared" si="0"/>
        <v>400000</v>
      </c>
      <c r="V35" s="133" t="s">
        <v>132</v>
      </c>
    </row>
    <row r="36" spans="1:22" s="58" customFormat="1" ht="45" x14ac:dyDescent="0.2">
      <c r="A36" s="941"/>
      <c r="B36" s="906"/>
      <c r="C36" s="132" t="s">
        <v>486</v>
      </c>
      <c r="D36" s="132" t="s">
        <v>161</v>
      </c>
      <c r="E36" s="131" t="s">
        <v>162</v>
      </c>
      <c r="F36" s="133" t="s">
        <v>131</v>
      </c>
      <c r="G36" s="133">
        <v>1</v>
      </c>
      <c r="H36" s="233">
        <v>180000</v>
      </c>
      <c r="I36" s="228"/>
      <c r="J36" s="228"/>
      <c r="K36" s="228"/>
      <c r="L36" s="228">
        <v>90000</v>
      </c>
      <c r="M36" s="228"/>
      <c r="N36" s="228"/>
      <c r="O36" s="228"/>
      <c r="P36" s="228"/>
      <c r="Q36" s="228"/>
      <c r="R36" s="228">
        <v>90000</v>
      </c>
      <c r="S36" s="228"/>
      <c r="T36" s="228"/>
      <c r="U36" s="227">
        <f t="shared" si="0"/>
        <v>180000</v>
      </c>
      <c r="V36" s="133" t="s">
        <v>132</v>
      </c>
    </row>
    <row r="37" spans="1:22" s="58" customFormat="1" ht="60" customHeight="1" x14ac:dyDescent="0.2">
      <c r="A37" s="941"/>
      <c r="B37" s="906"/>
      <c r="C37" s="132" t="s">
        <v>486</v>
      </c>
      <c r="D37" s="132" t="s">
        <v>163</v>
      </c>
      <c r="E37" s="131" t="s">
        <v>151</v>
      </c>
      <c r="F37" s="133" t="s">
        <v>128</v>
      </c>
      <c r="G37" s="133">
        <v>1</v>
      </c>
      <c r="H37" s="233">
        <v>110000</v>
      </c>
      <c r="I37" s="228"/>
      <c r="J37" s="228"/>
      <c r="K37" s="228"/>
      <c r="L37" s="228"/>
      <c r="M37" s="228"/>
      <c r="N37" s="228"/>
      <c r="O37" s="228"/>
      <c r="P37" s="228"/>
      <c r="Q37" s="228"/>
      <c r="R37" s="228"/>
      <c r="S37" s="228"/>
      <c r="T37" s="228"/>
      <c r="U37" s="227">
        <f t="shared" si="0"/>
        <v>0</v>
      </c>
      <c r="V37" s="133" t="s">
        <v>132</v>
      </c>
    </row>
    <row r="38" spans="1:22" s="58" customFormat="1" ht="45" x14ac:dyDescent="0.2">
      <c r="A38" s="941"/>
      <c r="B38" s="906"/>
      <c r="C38" s="132" t="s">
        <v>486</v>
      </c>
      <c r="D38" s="132" t="s">
        <v>164</v>
      </c>
      <c r="E38" s="131" t="s">
        <v>165</v>
      </c>
      <c r="F38" s="133" t="s">
        <v>138</v>
      </c>
      <c r="G38" s="133">
        <v>26</v>
      </c>
      <c r="H38" s="227">
        <v>7500</v>
      </c>
      <c r="I38" s="228"/>
      <c r="J38" s="228"/>
      <c r="K38" s="228">
        <v>97500</v>
      </c>
      <c r="L38" s="228"/>
      <c r="M38" s="228"/>
      <c r="N38" s="228"/>
      <c r="O38" s="228"/>
      <c r="P38" s="228"/>
      <c r="Q38" s="228">
        <v>97500</v>
      </c>
      <c r="R38" s="228"/>
      <c r="S38" s="228"/>
      <c r="T38" s="228"/>
      <c r="U38" s="227">
        <f t="shared" si="0"/>
        <v>195000</v>
      </c>
      <c r="V38" s="133" t="s">
        <v>132</v>
      </c>
    </row>
    <row r="39" spans="1:22" s="58" customFormat="1" ht="45" x14ac:dyDescent="0.2">
      <c r="A39" s="941"/>
      <c r="B39" s="906"/>
      <c r="C39" s="132" t="s">
        <v>486</v>
      </c>
      <c r="D39" s="132" t="s">
        <v>166</v>
      </c>
      <c r="E39" s="131" t="s">
        <v>165</v>
      </c>
      <c r="F39" s="133" t="s">
        <v>138</v>
      </c>
      <c r="G39" s="133">
        <v>8</v>
      </c>
      <c r="H39" s="227">
        <v>11500</v>
      </c>
      <c r="I39" s="228"/>
      <c r="J39" s="228"/>
      <c r="K39" s="228">
        <v>46000</v>
      </c>
      <c r="L39" s="228"/>
      <c r="M39" s="228"/>
      <c r="N39" s="228"/>
      <c r="O39" s="228"/>
      <c r="P39" s="228"/>
      <c r="Q39" s="228">
        <v>46000</v>
      </c>
      <c r="R39" s="228"/>
      <c r="S39" s="228"/>
      <c r="T39" s="228"/>
      <c r="U39" s="227">
        <f t="shared" si="0"/>
        <v>92000</v>
      </c>
      <c r="V39" s="133" t="s">
        <v>132</v>
      </c>
    </row>
    <row r="40" spans="1:22" s="58" customFormat="1" ht="45" x14ac:dyDescent="0.2">
      <c r="A40" s="941"/>
      <c r="B40" s="906"/>
      <c r="C40" s="132" t="s">
        <v>486</v>
      </c>
      <c r="D40" s="132" t="s">
        <v>167</v>
      </c>
      <c r="E40" s="132" t="s">
        <v>151</v>
      </c>
      <c r="F40" s="131" t="s">
        <v>128</v>
      </c>
      <c r="G40" s="133">
        <v>1</v>
      </c>
      <c r="H40" s="133">
        <v>650000</v>
      </c>
      <c r="I40" s="227"/>
      <c r="J40" s="228"/>
      <c r="K40" s="228"/>
      <c r="L40" s="228"/>
      <c r="M40" s="228">
        <f>+[3]Sheet4!$D$12</f>
        <v>327400</v>
      </c>
      <c r="N40" s="228">
        <f>+H40-M40+327400</f>
        <v>650000</v>
      </c>
      <c r="O40" s="228"/>
      <c r="P40" s="228"/>
      <c r="Q40" s="228"/>
      <c r="R40" s="228"/>
      <c r="S40" s="228"/>
      <c r="T40" s="228"/>
      <c r="U40" s="228">
        <f t="shared" si="0"/>
        <v>977400</v>
      </c>
      <c r="V40" s="227" t="s">
        <v>132</v>
      </c>
    </row>
    <row r="41" spans="1:22" s="58" customFormat="1" ht="45" x14ac:dyDescent="0.2">
      <c r="A41" s="941"/>
      <c r="B41" s="906"/>
      <c r="C41" s="132" t="s">
        <v>486</v>
      </c>
      <c r="D41" s="132" t="s">
        <v>1281</v>
      </c>
      <c r="E41" s="131" t="s">
        <v>891</v>
      </c>
      <c r="F41" s="133" t="s">
        <v>128</v>
      </c>
      <c r="G41" s="133">
        <v>1</v>
      </c>
      <c r="H41" s="227">
        <v>70000</v>
      </c>
      <c r="I41" s="228"/>
      <c r="J41" s="228"/>
      <c r="K41" s="228"/>
      <c r="L41" s="228"/>
      <c r="M41" s="228">
        <v>70000</v>
      </c>
      <c r="N41" s="228"/>
      <c r="O41" s="228"/>
      <c r="P41" s="228"/>
      <c r="Q41" s="228"/>
      <c r="R41" s="228"/>
      <c r="S41" s="228"/>
      <c r="T41" s="228"/>
      <c r="U41" s="227">
        <v>70000</v>
      </c>
      <c r="V41" s="133" t="s">
        <v>132</v>
      </c>
    </row>
    <row r="42" spans="1:22" s="58" customFormat="1" ht="45" x14ac:dyDescent="0.2">
      <c r="A42" s="941"/>
      <c r="B42" s="907"/>
      <c r="C42" s="132" t="s">
        <v>486</v>
      </c>
      <c r="D42" s="226" t="s">
        <v>168</v>
      </c>
      <c r="E42" s="133" t="s">
        <v>169</v>
      </c>
      <c r="F42" s="133" t="s">
        <v>128</v>
      </c>
      <c r="G42" s="133">
        <v>1</v>
      </c>
      <c r="H42" s="233">
        <v>500000</v>
      </c>
      <c r="I42" s="228"/>
      <c r="J42" s="228"/>
      <c r="K42" s="228">
        <v>500000</v>
      </c>
      <c r="L42" s="228"/>
      <c r="M42" s="228"/>
      <c r="N42" s="228"/>
      <c r="O42" s="228"/>
      <c r="P42" s="228"/>
      <c r="Q42" s="228"/>
      <c r="R42" s="228"/>
      <c r="S42" s="228"/>
      <c r="T42" s="228"/>
      <c r="U42" s="227">
        <f t="shared" ref="U42:U63" si="1">SUM(I42:T42)</f>
        <v>500000</v>
      </c>
      <c r="V42" s="133" t="s">
        <v>132</v>
      </c>
    </row>
    <row r="43" spans="1:22" s="58" customFormat="1" ht="45" x14ac:dyDescent="0.2">
      <c r="A43" s="941"/>
      <c r="B43" s="941" t="s">
        <v>961</v>
      </c>
      <c r="C43" s="132" t="s">
        <v>486</v>
      </c>
      <c r="D43" s="132" t="s">
        <v>154</v>
      </c>
      <c r="E43" s="131" t="s">
        <v>155</v>
      </c>
      <c r="F43" s="133" t="s">
        <v>131</v>
      </c>
      <c r="G43" s="133">
        <v>8</v>
      </c>
      <c r="H43" s="227">
        <v>8800</v>
      </c>
      <c r="I43" s="228"/>
      <c r="J43" s="228"/>
      <c r="K43" s="228">
        <v>17600</v>
      </c>
      <c r="L43" s="228"/>
      <c r="M43" s="228"/>
      <c r="N43" s="228">
        <v>17600</v>
      </c>
      <c r="O43" s="228"/>
      <c r="P43" s="228"/>
      <c r="Q43" s="228">
        <v>17600</v>
      </c>
      <c r="R43" s="228"/>
      <c r="S43" s="228"/>
      <c r="T43" s="228">
        <v>17600</v>
      </c>
      <c r="U43" s="227">
        <f t="shared" si="1"/>
        <v>70400</v>
      </c>
      <c r="V43" s="133" t="s">
        <v>132</v>
      </c>
    </row>
    <row r="44" spans="1:22" s="58" customFormat="1" ht="45" x14ac:dyDescent="0.2">
      <c r="A44" s="941"/>
      <c r="B44" s="941"/>
      <c r="C44" s="132" t="s">
        <v>486</v>
      </c>
      <c r="D44" s="132" t="s">
        <v>156</v>
      </c>
      <c r="E44" s="131" t="s">
        <v>155</v>
      </c>
      <c r="F44" s="133" t="s">
        <v>138</v>
      </c>
      <c r="G44" s="133">
        <v>32</v>
      </c>
      <c r="H44" s="227">
        <v>2200</v>
      </c>
      <c r="I44" s="228"/>
      <c r="J44" s="228"/>
      <c r="K44" s="228">
        <v>32500</v>
      </c>
      <c r="L44" s="228"/>
      <c r="M44" s="228"/>
      <c r="N44" s="228"/>
      <c r="O44" s="228"/>
      <c r="P44" s="228"/>
      <c r="Q44" s="228">
        <v>32500</v>
      </c>
      <c r="R44" s="228"/>
      <c r="S44" s="228"/>
      <c r="T44" s="228"/>
      <c r="U44" s="227">
        <f t="shared" si="1"/>
        <v>65000</v>
      </c>
      <c r="V44" s="133" t="s">
        <v>132</v>
      </c>
    </row>
    <row r="45" spans="1:22" s="58" customFormat="1" ht="45" x14ac:dyDescent="0.2">
      <c r="A45" s="941"/>
      <c r="B45" s="941"/>
      <c r="C45" s="132" t="s">
        <v>486</v>
      </c>
      <c r="D45" s="132" t="s">
        <v>157</v>
      </c>
      <c r="E45" s="131" t="s">
        <v>155</v>
      </c>
      <c r="F45" s="133" t="s">
        <v>138</v>
      </c>
      <c r="G45" s="133">
        <v>32</v>
      </c>
      <c r="H45" s="227">
        <v>200000</v>
      </c>
      <c r="I45" s="228"/>
      <c r="J45" s="228"/>
      <c r="K45" s="228">
        <v>150000</v>
      </c>
      <c r="L45" s="228"/>
      <c r="M45" s="228"/>
      <c r="N45" s="228"/>
      <c r="O45" s="228"/>
      <c r="P45" s="228"/>
      <c r="Q45" s="228">
        <v>150000</v>
      </c>
      <c r="R45" s="228"/>
      <c r="S45" s="228"/>
      <c r="T45" s="228"/>
      <c r="U45" s="227">
        <f t="shared" si="1"/>
        <v>300000</v>
      </c>
      <c r="V45" s="133" t="s">
        <v>132</v>
      </c>
    </row>
    <row r="46" spans="1:22" s="58" customFormat="1" ht="45" x14ac:dyDescent="0.2">
      <c r="A46" s="941"/>
      <c r="B46" s="941"/>
      <c r="C46" s="132" t="s">
        <v>486</v>
      </c>
      <c r="D46" s="132" t="s">
        <v>158</v>
      </c>
      <c r="E46" s="131" t="s">
        <v>155</v>
      </c>
      <c r="F46" s="133" t="s">
        <v>138</v>
      </c>
      <c r="G46" s="133">
        <v>16</v>
      </c>
      <c r="H46" s="233">
        <v>6000</v>
      </c>
      <c r="I46" s="228"/>
      <c r="J46" s="228"/>
      <c r="K46" s="228">
        <v>24000</v>
      </c>
      <c r="L46" s="228"/>
      <c r="M46" s="228"/>
      <c r="N46" s="228">
        <v>24000</v>
      </c>
      <c r="O46" s="228"/>
      <c r="P46" s="228"/>
      <c r="Q46" s="228">
        <v>24000</v>
      </c>
      <c r="R46" s="228"/>
      <c r="S46" s="228"/>
      <c r="T46" s="228">
        <v>24000</v>
      </c>
      <c r="U46" s="227">
        <f t="shared" si="1"/>
        <v>96000</v>
      </c>
      <c r="V46" s="133" t="s">
        <v>132</v>
      </c>
    </row>
    <row r="47" spans="1:22" s="58" customFormat="1" ht="60" x14ac:dyDescent="0.2">
      <c r="A47" s="941"/>
      <c r="B47" s="941"/>
      <c r="C47" s="132" t="s">
        <v>50</v>
      </c>
      <c r="D47" s="132" t="s">
        <v>159</v>
      </c>
      <c r="E47" s="131" t="s">
        <v>55</v>
      </c>
      <c r="F47" s="133" t="s">
        <v>128</v>
      </c>
      <c r="G47" s="133">
        <v>1</v>
      </c>
      <c r="H47" s="233">
        <v>2000000</v>
      </c>
      <c r="I47" s="228"/>
      <c r="J47" s="228"/>
      <c r="K47" s="228"/>
      <c r="L47" s="228"/>
      <c r="M47" s="228"/>
      <c r="N47" s="228">
        <v>557394.4</v>
      </c>
      <c r="O47" s="228">
        <f>+H47-N47+557394</f>
        <v>1999999.6</v>
      </c>
      <c r="P47" s="228"/>
      <c r="Q47" s="228"/>
      <c r="R47" s="228"/>
      <c r="S47" s="228"/>
      <c r="T47" s="228"/>
      <c r="U47" s="227">
        <f t="shared" si="1"/>
        <v>2557394</v>
      </c>
      <c r="V47" s="133" t="s">
        <v>132</v>
      </c>
    </row>
    <row r="48" spans="1:22" s="58" customFormat="1" ht="45" x14ac:dyDescent="0.2">
      <c r="A48" s="149" t="s">
        <v>962</v>
      </c>
      <c r="B48" s="149" t="s">
        <v>963</v>
      </c>
      <c r="C48" s="149" t="s">
        <v>50</v>
      </c>
      <c r="D48" s="230" t="s">
        <v>130</v>
      </c>
      <c r="E48" s="136" t="s">
        <v>69</v>
      </c>
      <c r="F48" s="136" t="s">
        <v>131</v>
      </c>
      <c r="G48" s="203">
        <v>20</v>
      </c>
      <c r="H48" s="234">
        <v>1750</v>
      </c>
      <c r="I48" s="232"/>
      <c r="J48" s="232"/>
      <c r="K48" s="232"/>
      <c r="L48" s="232"/>
      <c r="M48" s="232"/>
      <c r="N48" s="231">
        <f>H48*10</f>
        <v>17500</v>
      </c>
      <c r="O48" s="232"/>
      <c r="P48" s="232"/>
      <c r="Q48" s="232"/>
      <c r="R48" s="232"/>
      <c r="S48" s="232"/>
      <c r="T48" s="231">
        <f>H48*10</f>
        <v>17500</v>
      </c>
      <c r="U48" s="231">
        <f t="shared" si="1"/>
        <v>35000</v>
      </c>
      <c r="V48" s="136" t="s">
        <v>132</v>
      </c>
    </row>
    <row r="49" spans="1:22" s="58" customFormat="1" ht="42.75" customHeight="1" x14ac:dyDescent="0.2">
      <c r="A49" s="963" t="s">
        <v>966</v>
      </c>
      <c r="B49" s="905" t="s">
        <v>967</v>
      </c>
      <c r="C49" s="132" t="s">
        <v>50</v>
      </c>
      <c r="D49" s="226" t="s">
        <v>124</v>
      </c>
      <c r="E49" s="133" t="s">
        <v>69</v>
      </c>
      <c r="F49" s="133" t="s">
        <v>18</v>
      </c>
      <c r="G49" s="133">
        <v>18</v>
      </c>
      <c r="H49" s="227">
        <v>1750</v>
      </c>
      <c r="I49" s="228"/>
      <c r="J49" s="228"/>
      <c r="K49" s="228"/>
      <c r="L49" s="228"/>
      <c r="M49" s="228"/>
      <c r="N49" s="227">
        <f>+H49*9</f>
        <v>15750</v>
      </c>
      <c r="O49" s="228"/>
      <c r="P49" s="228"/>
      <c r="Q49" s="228"/>
      <c r="R49" s="228"/>
      <c r="S49" s="228"/>
      <c r="T49" s="227">
        <f>+H49*9</f>
        <v>15750</v>
      </c>
      <c r="U49" s="227">
        <f t="shared" si="1"/>
        <v>31500</v>
      </c>
      <c r="V49" s="133" t="s">
        <v>125</v>
      </c>
    </row>
    <row r="50" spans="1:22" s="58" customFormat="1" ht="28.5" customHeight="1" x14ac:dyDescent="0.2">
      <c r="A50" s="964"/>
      <c r="B50" s="907"/>
      <c r="C50" s="132" t="s">
        <v>50</v>
      </c>
      <c r="D50" s="226" t="s">
        <v>124</v>
      </c>
      <c r="E50" s="133" t="s">
        <v>69</v>
      </c>
      <c r="F50" s="133" t="s">
        <v>18</v>
      </c>
      <c r="G50" s="133">
        <v>3</v>
      </c>
      <c r="H50" s="227">
        <v>5800</v>
      </c>
      <c r="I50" s="228"/>
      <c r="J50" s="228"/>
      <c r="K50" s="228"/>
      <c r="L50" s="228"/>
      <c r="M50" s="228"/>
      <c r="N50" s="227">
        <v>5800</v>
      </c>
      <c r="O50" s="227">
        <v>5800</v>
      </c>
      <c r="P50" s="228"/>
      <c r="Q50" s="227">
        <v>5800</v>
      </c>
      <c r="R50" s="228"/>
      <c r="S50" s="228"/>
      <c r="T50" s="228"/>
      <c r="U50" s="227">
        <f t="shared" si="1"/>
        <v>17400</v>
      </c>
      <c r="V50" s="133" t="s">
        <v>125</v>
      </c>
    </row>
    <row r="51" spans="1:22" s="58" customFormat="1" ht="46.5" customHeight="1" x14ac:dyDescent="0.2">
      <c r="A51" s="229" t="s">
        <v>968</v>
      </c>
      <c r="B51" s="149" t="s">
        <v>977</v>
      </c>
      <c r="C51" s="149" t="s">
        <v>486</v>
      </c>
      <c r="D51" s="230" t="s">
        <v>126</v>
      </c>
      <c r="E51" s="136" t="s">
        <v>127</v>
      </c>
      <c r="F51" s="136" t="s">
        <v>128</v>
      </c>
      <c r="G51" s="136">
        <v>1</v>
      </c>
      <c r="H51" s="231">
        <v>100000</v>
      </c>
      <c r="I51" s="232"/>
      <c r="J51" s="232"/>
      <c r="K51" s="232"/>
      <c r="L51" s="232"/>
      <c r="M51" s="232"/>
      <c r="N51" s="231">
        <v>100000</v>
      </c>
      <c r="O51" s="232"/>
      <c r="P51" s="232"/>
      <c r="Q51" s="231"/>
      <c r="R51" s="232"/>
      <c r="S51" s="232"/>
      <c r="T51" s="232"/>
      <c r="U51" s="231">
        <f t="shared" si="1"/>
        <v>100000</v>
      </c>
      <c r="V51" s="136" t="s">
        <v>129</v>
      </c>
    </row>
    <row r="52" spans="1:22" s="58" customFormat="1" ht="45" x14ac:dyDescent="0.2">
      <c r="A52" s="965" t="s">
        <v>973</v>
      </c>
      <c r="B52" s="941" t="s">
        <v>974</v>
      </c>
      <c r="C52" s="132" t="s">
        <v>486</v>
      </c>
      <c r="D52" s="132" t="s">
        <v>170</v>
      </c>
      <c r="E52" s="133" t="s">
        <v>143</v>
      </c>
      <c r="F52" s="133" t="s">
        <v>131</v>
      </c>
      <c r="G52" s="133">
        <v>2</v>
      </c>
      <c r="H52" s="227">
        <v>235000</v>
      </c>
      <c r="I52" s="228"/>
      <c r="J52" s="228"/>
      <c r="K52" s="228">
        <v>123750</v>
      </c>
      <c r="L52" s="228"/>
      <c r="M52" s="228"/>
      <c r="N52" s="227">
        <v>123750</v>
      </c>
      <c r="O52" s="228"/>
      <c r="P52" s="228"/>
      <c r="Q52" s="228">
        <v>123750</v>
      </c>
      <c r="R52" s="228"/>
      <c r="S52" s="228"/>
      <c r="T52" s="227">
        <v>123750</v>
      </c>
      <c r="U52" s="227">
        <f t="shared" si="1"/>
        <v>495000</v>
      </c>
      <c r="V52" s="133" t="s">
        <v>132</v>
      </c>
    </row>
    <row r="53" spans="1:22" s="58" customFormat="1" ht="45" x14ac:dyDescent="0.2">
      <c r="A53" s="965"/>
      <c r="B53" s="941"/>
      <c r="C53" s="132" t="s">
        <v>486</v>
      </c>
      <c r="D53" s="132" t="s">
        <v>172</v>
      </c>
      <c r="E53" s="133" t="s">
        <v>173</v>
      </c>
      <c r="F53" s="133" t="s">
        <v>131</v>
      </c>
      <c r="G53" s="133">
        <v>4</v>
      </c>
      <c r="H53" s="228">
        <v>113412.5</v>
      </c>
      <c r="I53" s="228"/>
      <c r="J53" s="228"/>
      <c r="K53" s="228">
        <v>119662.5</v>
      </c>
      <c r="L53" s="228"/>
      <c r="M53" s="228"/>
      <c r="N53" s="228">
        <v>119662.5</v>
      </c>
      <c r="O53" s="228"/>
      <c r="P53" s="228"/>
      <c r="Q53" s="228">
        <v>119662.5</v>
      </c>
      <c r="R53" s="228"/>
      <c r="S53" s="228"/>
      <c r="T53" s="228">
        <v>119662.5</v>
      </c>
      <c r="U53" s="227">
        <f t="shared" si="1"/>
        <v>478650</v>
      </c>
      <c r="V53" s="133" t="s">
        <v>132</v>
      </c>
    </row>
    <row r="54" spans="1:22" s="58" customFormat="1" ht="45" x14ac:dyDescent="0.2">
      <c r="A54" s="965"/>
      <c r="B54" s="941" t="s">
        <v>975</v>
      </c>
      <c r="C54" s="132" t="s">
        <v>486</v>
      </c>
      <c r="D54" s="132" t="s">
        <v>174</v>
      </c>
      <c r="E54" s="133" t="s">
        <v>175</v>
      </c>
      <c r="F54" s="133" t="s">
        <v>138</v>
      </c>
      <c r="G54" s="133">
        <v>4</v>
      </c>
      <c r="H54" s="228">
        <v>21667.75</v>
      </c>
      <c r="I54" s="228"/>
      <c r="J54" s="228"/>
      <c r="K54" s="228">
        <v>21668.75</v>
      </c>
      <c r="L54" s="228"/>
      <c r="M54" s="228"/>
      <c r="N54" s="228">
        <v>21668.75</v>
      </c>
      <c r="O54" s="228"/>
      <c r="P54" s="228"/>
      <c r="Q54" s="228">
        <v>21668.75</v>
      </c>
      <c r="R54" s="228"/>
      <c r="S54" s="228"/>
      <c r="T54" s="228">
        <v>21668.75</v>
      </c>
      <c r="U54" s="227">
        <f t="shared" si="1"/>
        <v>86675</v>
      </c>
      <c r="V54" s="133" t="s">
        <v>132</v>
      </c>
    </row>
    <row r="55" spans="1:22" s="58" customFormat="1" ht="30" x14ac:dyDescent="0.2">
      <c r="A55" s="965"/>
      <c r="B55" s="941"/>
      <c r="C55" s="132" t="s">
        <v>50</v>
      </c>
      <c r="D55" s="132" t="s">
        <v>1280</v>
      </c>
      <c r="E55" s="131" t="s">
        <v>176</v>
      </c>
      <c r="F55" s="133" t="s">
        <v>138</v>
      </c>
      <c r="G55" s="133">
        <v>1</v>
      </c>
      <c r="H55" s="228">
        <v>3000000</v>
      </c>
      <c r="I55" s="228"/>
      <c r="J55" s="228"/>
      <c r="K55" s="228">
        <v>3000000</v>
      </c>
      <c r="L55" s="228"/>
      <c r="M55" s="228"/>
      <c r="N55" s="228"/>
      <c r="O55" s="228"/>
      <c r="P55" s="228"/>
      <c r="Q55" s="228"/>
      <c r="R55" s="228"/>
      <c r="S55" s="228"/>
      <c r="T55" s="228"/>
      <c r="U55" s="227">
        <f t="shared" si="1"/>
        <v>3000000</v>
      </c>
      <c r="V55" s="133" t="s">
        <v>132</v>
      </c>
    </row>
    <row r="56" spans="1:22" s="58" customFormat="1" ht="30" x14ac:dyDescent="0.2">
      <c r="A56" s="965"/>
      <c r="B56" s="941"/>
      <c r="C56" s="132" t="s">
        <v>50</v>
      </c>
      <c r="D56" s="132" t="s">
        <v>1279</v>
      </c>
      <c r="E56" s="131" t="s">
        <v>176</v>
      </c>
      <c r="F56" s="133" t="s">
        <v>138</v>
      </c>
      <c r="G56" s="133">
        <v>12</v>
      </c>
      <c r="H56" s="228">
        <v>750000</v>
      </c>
      <c r="I56" s="228">
        <v>750000</v>
      </c>
      <c r="J56" s="228">
        <v>750000</v>
      </c>
      <c r="K56" s="228">
        <v>750000</v>
      </c>
      <c r="L56" s="228">
        <v>750000</v>
      </c>
      <c r="M56" s="228">
        <v>750000</v>
      </c>
      <c r="N56" s="228">
        <v>750000</v>
      </c>
      <c r="O56" s="228">
        <v>750000</v>
      </c>
      <c r="P56" s="228">
        <v>750000</v>
      </c>
      <c r="Q56" s="228">
        <v>750000</v>
      </c>
      <c r="R56" s="228">
        <v>750000</v>
      </c>
      <c r="S56" s="228">
        <v>750000</v>
      </c>
      <c r="T56" s="228">
        <v>750000</v>
      </c>
      <c r="U56" s="227">
        <f t="shared" si="1"/>
        <v>9000000</v>
      </c>
      <c r="V56" s="133" t="s">
        <v>132</v>
      </c>
    </row>
    <row r="57" spans="1:22" s="58" customFormat="1" ht="45" x14ac:dyDescent="0.2">
      <c r="A57" s="965"/>
      <c r="B57" s="941"/>
      <c r="C57" s="132" t="s">
        <v>486</v>
      </c>
      <c r="D57" s="132" t="s">
        <v>177</v>
      </c>
      <c r="E57" s="131" t="s">
        <v>143</v>
      </c>
      <c r="F57" s="133" t="s">
        <v>138</v>
      </c>
      <c r="G57" s="133">
        <v>2</v>
      </c>
      <c r="H57" s="228">
        <v>38500</v>
      </c>
      <c r="I57" s="228"/>
      <c r="J57" s="228"/>
      <c r="K57" s="228">
        <v>38500</v>
      </c>
      <c r="L57" s="228"/>
      <c r="M57" s="228"/>
      <c r="N57" s="228"/>
      <c r="O57" s="228"/>
      <c r="P57" s="228"/>
      <c r="Q57" s="228">
        <v>38500</v>
      </c>
      <c r="R57" s="228"/>
      <c r="S57" s="228"/>
      <c r="T57" s="228"/>
      <c r="U57" s="227">
        <f t="shared" si="1"/>
        <v>77000</v>
      </c>
      <c r="V57" s="133" t="s">
        <v>132</v>
      </c>
    </row>
    <row r="58" spans="1:22" s="58" customFormat="1" ht="45" x14ac:dyDescent="0.2">
      <c r="A58" s="965"/>
      <c r="B58" s="941"/>
      <c r="C58" s="132" t="s">
        <v>486</v>
      </c>
      <c r="D58" s="132" t="s">
        <v>178</v>
      </c>
      <c r="E58" s="131" t="s">
        <v>179</v>
      </c>
      <c r="F58" s="133" t="s">
        <v>138</v>
      </c>
      <c r="G58" s="133">
        <v>1</v>
      </c>
      <c r="H58" s="228">
        <v>150000</v>
      </c>
      <c r="I58" s="228"/>
      <c r="J58" s="228"/>
      <c r="K58" s="228"/>
      <c r="L58" s="228">
        <f>+[3]Sheet4!$D$6</f>
        <v>76960</v>
      </c>
      <c r="M58" s="228">
        <f>+H58-L58+76960</f>
        <v>150000</v>
      </c>
      <c r="N58" s="228"/>
      <c r="O58" s="228"/>
      <c r="P58" s="228"/>
      <c r="Q58" s="228" t="s">
        <v>1283</v>
      </c>
      <c r="R58" s="228"/>
      <c r="S58" s="228"/>
      <c r="T58" s="228"/>
      <c r="U58" s="227">
        <f t="shared" si="1"/>
        <v>226960</v>
      </c>
      <c r="V58" s="133" t="s">
        <v>132</v>
      </c>
    </row>
    <row r="59" spans="1:22" s="58" customFormat="1" ht="45" x14ac:dyDescent="0.2">
      <c r="A59" s="965"/>
      <c r="B59" s="941"/>
      <c r="C59" s="132" t="s">
        <v>486</v>
      </c>
      <c r="D59" s="132" t="s">
        <v>1278</v>
      </c>
      <c r="E59" s="133" t="s">
        <v>180</v>
      </c>
      <c r="F59" s="133" t="s">
        <v>138</v>
      </c>
      <c r="G59" s="133">
        <v>1</v>
      </c>
      <c r="H59" s="227">
        <v>100000</v>
      </c>
      <c r="I59" s="228"/>
      <c r="J59" s="228"/>
      <c r="K59" s="228"/>
      <c r="L59" s="228"/>
      <c r="M59" s="228"/>
      <c r="N59" s="228">
        <v>100000</v>
      </c>
      <c r="O59" s="228"/>
      <c r="P59" s="228"/>
      <c r="Q59" s="228"/>
      <c r="R59" s="228"/>
      <c r="S59" s="228"/>
      <c r="T59" s="228"/>
      <c r="U59" s="227">
        <f t="shared" si="1"/>
        <v>100000</v>
      </c>
      <c r="V59" s="133" t="s">
        <v>132</v>
      </c>
    </row>
    <row r="60" spans="1:22" s="58" customFormat="1" ht="30" x14ac:dyDescent="0.2">
      <c r="A60" s="965"/>
      <c r="B60" s="941"/>
      <c r="C60" s="132" t="s">
        <v>50</v>
      </c>
      <c r="D60" s="132" t="s">
        <v>181</v>
      </c>
      <c r="E60" s="133" t="s">
        <v>55</v>
      </c>
      <c r="F60" s="133" t="s">
        <v>138</v>
      </c>
      <c r="G60" s="133">
        <v>1</v>
      </c>
      <c r="H60" s="227">
        <v>1145880</v>
      </c>
      <c r="I60" s="228"/>
      <c r="J60" s="228">
        <v>295256.59999999998</v>
      </c>
      <c r="K60" s="228">
        <f>+H60-J60</f>
        <v>850623.4</v>
      </c>
      <c r="L60" s="228"/>
      <c r="M60" s="228"/>
      <c r="N60" s="228"/>
      <c r="O60" s="228"/>
      <c r="P60" s="228"/>
      <c r="Q60" s="228"/>
      <c r="R60" s="228"/>
      <c r="S60" s="228"/>
      <c r="T60" s="228"/>
      <c r="U60" s="227">
        <f t="shared" si="1"/>
        <v>1145880</v>
      </c>
      <c r="V60" s="133" t="s">
        <v>132</v>
      </c>
    </row>
    <row r="61" spans="1:22" s="58" customFormat="1" ht="45" x14ac:dyDescent="0.2">
      <c r="A61" s="965"/>
      <c r="B61" s="941" t="s">
        <v>976</v>
      </c>
      <c r="C61" s="132" t="s">
        <v>486</v>
      </c>
      <c r="D61" s="132" t="s">
        <v>182</v>
      </c>
      <c r="E61" s="131" t="s">
        <v>55</v>
      </c>
      <c r="F61" s="133" t="s">
        <v>128</v>
      </c>
      <c r="G61" s="133">
        <v>1</v>
      </c>
      <c r="H61" s="227">
        <v>250000</v>
      </c>
      <c r="I61" s="228"/>
      <c r="J61" s="228"/>
      <c r="K61" s="228">
        <v>250000</v>
      </c>
      <c r="L61" s="228"/>
      <c r="M61" s="228"/>
      <c r="N61" s="228"/>
      <c r="O61" s="228"/>
      <c r="P61" s="228"/>
      <c r="Q61" s="228"/>
      <c r="R61" s="228"/>
      <c r="S61" s="228"/>
      <c r="T61" s="228"/>
      <c r="U61" s="227">
        <f t="shared" si="1"/>
        <v>250000</v>
      </c>
      <c r="V61" s="133" t="s">
        <v>132</v>
      </c>
    </row>
    <row r="62" spans="1:22" s="58" customFormat="1" ht="45" x14ac:dyDescent="0.2">
      <c r="A62" s="965"/>
      <c r="B62" s="941"/>
      <c r="C62" s="132" t="s">
        <v>486</v>
      </c>
      <c r="D62" s="132" t="s">
        <v>149</v>
      </c>
      <c r="E62" s="133" t="s">
        <v>143</v>
      </c>
      <c r="F62" s="133" t="s">
        <v>138</v>
      </c>
      <c r="G62" s="133">
        <v>50</v>
      </c>
      <c r="H62" s="227">
        <v>750</v>
      </c>
      <c r="I62" s="228"/>
      <c r="J62" s="228"/>
      <c r="K62" s="228">
        <v>18750</v>
      </c>
      <c r="L62" s="228"/>
      <c r="M62" s="228"/>
      <c r="N62" s="228"/>
      <c r="O62" s="228"/>
      <c r="P62" s="228">
        <v>18750</v>
      </c>
      <c r="Q62" s="228"/>
      <c r="R62" s="228"/>
      <c r="S62" s="228"/>
      <c r="T62" s="228"/>
      <c r="U62" s="227">
        <f t="shared" si="1"/>
        <v>37500</v>
      </c>
      <c r="V62" s="133" t="s">
        <v>132</v>
      </c>
    </row>
    <row r="63" spans="1:22" s="58" customFormat="1" ht="45" x14ac:dyDescent="0.2">
      <c r="A63" s="965"/>
      <c r="B63" s="941"/>
      <c r="C63" s="132" t="s">
        <v>486</v>
      </c>
      <c r="D63" s="132" t="s">
        <v>183</v>
      </c>
      <c r="E63" s="131" t="s">
        <v>55</v>
      </c>
      <c r="F63" s="133" t="s">
        <v>128</v>
      </c>
      <c r="G63" s="133">
        <v>1</v>
      </c>
      <c r="H63" s="227">
        <v>125000</v>
      </c>
      <c r="I63" s="228"/>
      <c r="J63" s="228"/>
      <c r="K63" s="228"/>
      <c r="L63" s="228"/>
      <c r="M63" s="228"/>
      <c r="N63" s="228"/>
      <c r="O63" s="228">
        <v>125000</v>
      </c>
      <c r="P63" s="228"/>
      <c r="Q63" s="228"/>
      <c r="R63" s="228"/>
      <c r="S63" s="228"/>
      <c r="T63" s="228"/>
      <c r="U63" s="227">
        <f t="shared" si="1"/>
        <v>125000</v>
      </c>
      <c r="V63" s="133" t="s">
        <v>132</v>
      </c>
    </row>
    <row r="64" spans="1:22" s="58" customFormat="1" ht="15" x14ac:dyDescent="0.2">
      <c r="A64" s="962" t="s">
        <v>184</v>
      </c>
      <c r="B64" s="962"/>
      <c r="C64" s="962"/>
      <c r="D64" s="962"/>
      <c r="E64" s="962"/>
      <c r="F64" s="962"/>
      <c r="G64" s="962"/>
      <c r="H64" s="235"/>
      <c r="I64" s="236">
        <f t="shared" ref="I64:U64" si="2">SUM(I23:I63)</f>
        <v>750000</v>
      </c>
      <c r="J64" s="236">
        <f t="shared" si="2"/>
        <v>1177256.6000000001</v>
      </c>
      <c r="K64" s="236">
        <f t="shared" si="2"/>
        <v>7422554.6500000004</v>
      </c>
      <c r="L64" s="236">
        <f t="shared" si="2"/>
        <v>1037960</v>
      </c>
      <c r="M64" s="236">
        <f t="shared" si="2"/>
        <v>1672400</v>
      </c>
      <c r="N64" s="236">
        <f t="shared" si="2"/>
        <v>2545625.65</v>
      </c>
      <c r="O64" s="236">
        <f t="shared" si="2"/>
        <v>2955799.6</v>
      </c>
      <c r="P64" s="236">
        <f t="shared" si="2"/>
        <v>893750</v>
      </c>
      <c r="Q64" s="236">
        <f t="shared" si="2"/>
        <v>2406981.25</v>
      </c>
      <c r="R64" s="236">
        <f t="shared" si="2"/>
        <v>840000</v>
      </c>
      <c r="S64" s="236">
        <f t="shared" si="2"/>
        <v>750000</v>
      </c>
      <c r="T64" s="236">
        <f t="shared" si="2"/>
        <v>1287431.25</v>
      </c>
      <c r="U64" s="235">
        <f t="shared" si="2"/>
        <v>23739759</v>
      </c>
      <c r="V64" s="237"/>
    </row>
    <row r="65" spans="1:22" ht="15" x14ac:dyDescent="0.2">
      <c r="A65" s="126"/>
      <c r="B65" s="101"/>
      <c r="C65" s="126"/>
      <c r="D65" s="101"/>
      <c r="E65" s="127"/>
      <c r="F65" s="101"/>
      <c r="G65" s="101"/>
      <c r="H65" s="128"/>
      <c r="I65" s="101"/>
      <c r="J65" s="101"/>
      <c r="K65" s="101"/>
      <c r="L65" s="101"/>
      <c r="M65" s="101"/>
      <c r="N65" s="101"/>
      <c r="O65" s="101"/>
      <c r="P65" s="101"/>
      <c r="Q65" s="101"/>
      <c r="R65" s="101"/>
      <c r="S65" s="101"/>
      <c r="T65" s="101"/>
      <c r="U65" s="101"/>
      <c r="V65" s="103"/>
    </row>
    <row r="66" spans="1:22" ht="15" x14ac:dyDescent="0.2">
      <c r="A66" s="126"/>
      <c r="B66" s="101"/>
      <c r="C66" s="126"/>
      <c r="D66" s="101"/>
      <c r="E66" s="127"/>
      <c r="F66" s="101"/>
      <c r="G66" s="126"/>
      <c r="H66" s="103"/>
      <c r="I66" s="101"/>
      <c r="J66" s="101"/>
      <c r="K66" s="101"/>
      <c r="L66" s="101"/>
      <c r="M66" s="101"/>
      <c r="N66" s="101"/>
      <c r="O66" s="101"/>
      <c r="P66" s="101"/>
      <c r="Q66" s="101"/>
      <c r="R66" s="101"/>
      <c r="S66" s="101"/>
      <c r="T66" s="101"/>
      <c r="U66" s="101"/>
      <c r="V66" s="103"/>
    </row>
    <row r="69" spans="1:22" ht="15.75" x14ac:dyDescent="0.25">
      <c r="B69" s="478"/>
      <c r="C69" s="478"/>
      <c r="D69" s="478"/>
      <c r="E69" s="101"/>
      <c r="F69" s="101"/>
      <c r="G69" s="476"/>
      <c r="H69" s="478"/>
      <c r="I69" s="478"/>
      <c r="J69" s="478"/>
      <c r="K69" s="478"/>
      <c r="L69" s="476"/>
      <c r="M69" s="101"/>
      <c r="N69" s="476"/>
      <c r="O69" s="476"/>
      <c r="P69" s="101"/>
      <c r="Q69" s="853"/>
      <c r="R69" s="853"/>
      <c r="S69" s="853"/>
    </row>
    <row r="70" spans="1:22" ht="15.75" x14ac:dyDescent="0.25">
      <c r="B70" s="901" t="s">
        <v>1050</v>
      </c>
      <c r="C70" s="901"/>
      <c r="D70" s="901"/>
      <c r="E70" s="101"/>
      <c r="F70" s="101"/>
      <c r="G70" s="932" t="s">
        <v>536</v>
      </c>
      <c r="H70" s="901"/>
      <c r="I70" s="901"/>
      <c r="J70" s="901"/>
      <c r="K70" s="901"/>
      <c r="L70" s="932"/>
      <c r="M70" s="101"/>
      <c r="N70" s="477"/>
      <c r="O70" s="101"/>
      <c r="P70" s="477"/>
      <c r="Q70" s="901" t="s">
        <v>537</v>
      </c>
      <c r="R70" s="901"/>
      <c r="S70" s="901"/>
    </row>
    <row r="71" spans="1:22" ht="15.75" x14ac:dyDescent="0.25">
      <c r="B71" s="931" t="s">
        <v>1051</v>
      </c>
      <c r="C71" s="931"/>
      <c r="D71" s="931"/>
      <c r="E71" s="101"/>
      <c r="F71" s="101"/>
      <c r="G71" s="897" t="s">
        <v>546</v>
      </c>
      <c r="H71" s="897"/>
      <c r="I71" s="897"/>
      <c r="J71" s="897"/>
      <c r="K71" s="897"/>
      <c r="L71" s="897"/>
      <c r="M71" s="101"/>
      <c r="N71" s="476"/>
      <c r="O71" s="101"/>
      <c r="P71" s="476"/>
      <c r="Q71" s="931" t="s">
        <v>538</v>
      </c>
      <c r="R71" s="931"/>
      <c r="S71" s="931"/>
      <c r="U71" s="577"/>
    </row>
    <row r="72" spans="1:22" s="14" customFormat="1" x14ac:dyDescent="0.2">
      <c r="A72" s="5"/>
      <c r="B72" s="2"/>
      <c r="C72" s="2"/>
      <c r="D72" s="2"/>
      <c r="E72" s="8"/>
      <c r="F72" s="2"/>
      <c r="G72" s="2"/>
      <c r="H72" s="9"/>
      <c r="I72" s="2"/>
      <c r="J72" s="2"/>
      <c r="K72" s="2"/>
      <c r="L72" s="2"/>
      <c r="M72" s="2"/>
      <c r="N72" s="2"/>
      <c r="O72" s="2"/>
      <c r="P72" s="2"/>
      <c r="Q72" s="2"/>
      <c r="R72" s="2"/>
      <c r="S72" s="2"/>
      <c r="T72" s="2"/>
      <c r="U72" s="2"/>
    </row>
    <row r="73" spans="1:22" s="14" customFormat="1" hidden="1" x14ac:dyDescent="0.2">
      <c r="A73" s="5"/>
      <c r="B73" s="2"/>
      <c r="C73" s="2"/>
      <c r="D73" s="2"/>
      <c r="E73" s="8"/>
      <c r="F73" s="2"/>
      <c r="G73" s="2"/>
      <c r="H73" s="9"/>
      <c r="I73" s="2"/>
      <c r="J73" s="2"/>
      <c r="K73" s="2"/>
      <c r="L73" s="2"/>
      <c r="M73" s="2"/>
      <c r="N73" s="2"/>
      <c r="O73" s="2"/>
      <c r="P73" s="2"/>
      <c r="Q73" s="2"/>
      <c r="R73" s="2"/>
      <c r="S73" s="2"/>
      <c r="T73" s="2"/>
      <c r="U73" s="2"/>
    </row>
    <row r="74" spans="1:22" s="14" customFormat="1" hidden="1" x14ac:dyDescent="0.2">
      <c r="A74" s="5"/>
      <c r="B74" s="2"/>
      <c r="C74" s="2"/>
      <c r="D74" s="2"/>
      <c r="E74" s="8"/>
      <c r="F74" s="2"/>
      <c r="G74" s="2"/>
      <c r="H74" s="9"/>
      <c r="I74" s="2"/>
      <c r="J74" s="2"/>
      <c r="K74" s="2"/>
      <c r="L74" s="2"/>
      <c r="M74" s="2"/>
      <c r="N74" s="2"/>
      <c r="O74" s="2"/>
      <c r="P74" s="2"/>
      <c r="Q74" s="2"/>
      <c r="R74" s="2"/>
      <c r="S74" s="2"/>
      <c r="T74" s="2"/>
      <c r="U74" s="2"/>
    </row>
    <row r="75" spans="1:22" s="14" customFormat="1" x14ac:dyDescent="0.2">
      <c r="A75" s="5"/>
      <c r="B75" s="2"/>
      <c r="C75" s="2"/>
      <c r="D75" s="2"/>
      <c r="E75" s="8"/>
      <c r="F75" s="2"/>
      <c r="G75" s="2"/>
      <c r="H75" s="9"/>
      <c r="I75" s="2"/>
      <c r="J75" s="2"/>
      <c r="K75" s="2"/>
      <c r="L75" s="2"/>
      <c r="M75" s="2"/>
      <c r="N75" s="2"/>
      <c r="O75" s="2"/>
      <c r="P75" s="2"/>
      <c r="Q75" s="2"/>
      <c r="R75" s="2"/>
      <c r="S75" s="2"/>
      <c r="T75" s="2"/>
      <c r="U75" s="2"/>
    </row>
    <row r="76" spans="1:22" s="14" customFormat="1" x14ac:dyDescent="0.2">
      <c r="A76" s="5"/>
      <c r="B76" s="2"/>
      <c r="C76" s="2"/>
      <c r="D76" s="2"/>
      <c r="E76" s="8"/>
      <c r="F76" s="2"/>
      <c r="G76" s="2"/>
      <c r="H76" s="9"/>
      <c r="I76" s="2"/>
      <c r="J76" s="2"/>
      <c r="K76" s="2"/>
      <c r="L76" s="2"/>
      <c r="M76" s="2"/>
      <c r="N76" s="2"/>
      <c r="O76" s="2"/>
      <c r="P76" s="2"/>
      <c r="Q76" s="2"/>
      <c r="R76" s="2"/>
      <c r="S76" s="2"/>
      <c r="T76" s="2"/>
      <c r="U76" s="2"/>
    </row>
    <row r="77" spans="1:22" s="14" customFormat="1" x14ac:dyDescent="0.2">
      <c r="A77" s="5"/>
      <c r="B77" s="2"/>
      <c r="C77" s="2"/>
      <c r="D77" s="2"/>
      <c r="E77" s="8"/>
      <c r="F77" s="2"/>
      <c r="G77" s="2"/>
      <c r="H77" s="9"/>
      <c r="I77" s="2"/>
      <c r="J77" s="2"/>
      <c r="K77" s="2"/>
      <c r="L77" s="2"/>
      <c r="M77" s="2"/>
      <c r="N77" s="2"/>
      <c r="O77" s="2"/>
      <c r="P77" s="2"/>
      <c r="Q77" s="2"/>
      <c r="R77" s="2"/>
      <c r="S77" s="2"/>
      <c r="T77" s="2"/>
      <c r="U77" s="2"/>
    </row>
    <row r="78" spans="1:22" x14ac:dyDescent="0.2">
      <c r="C78" s="2"/>
    </row>
    <row r="79" spans="1:22" x14ac:dyDescent="0.2">
      <c r="C79" s="2"/>
    </row>
    <row r="80" spans="1:22" x14ac:dyDescent="0.2">
      <c r="C80" s="2"/>
    </row>
  </sheetData>
  <mergeCells count="38">
    <mergeCell ref="B19:V19"/>
    <mergeCell ref="U21:U22"/>
    <mergeCell ref="V21:V22"/>
    <mergeCell ref="H21:H22"/>
    <mergeCell ref="I21:K21"/>
    <mergeCell ref="L21:N21"/>
    <mergeCell ref="O21:Q21"/>
    <mergeCell ref="R21:T21"/>
    <mergeCell ref="G21:G22"/>
    <mergeCell ref="A13:V13"/>
    <mergeCell ref="A14:V14"/>
    <mergeCell ref="A15:V15"/>
    <mergeCell ref="B17:V17"/>
    <mergeCell ref="B18:V18"/>
    <mergeCell ref="A49:A50"/>
    <mergeCell ref="B49:B50"/>
    <mergeCell ref="A52:A63"/>
    <mergeCell ref="B52:B53"/>
    <mergeCell ref="F21:F22"/>
    <mergeCell ref="A23:A47"/>
    <mergeCell ref="B23:B34"/>
    <mergeCell ref="B35:B42"/>
    <mergeCell ref="B43:B47"/>
    <mergeCell ref="A21:A22"/>
    <mergeCell ref="B21:B22"/>
    <mergeCell ref="C21:C22"/>
    <mergeCell ref="D21:D22"/>
    <mergeCell ref="E21:E22"/>
    <mergeCell ref="B71:D71"/>
    <mergeCell ref="G71:L71"/>
    <mergeCell ref="Q71:S71"/>
    <mergeCell ref="B54:B60"/>
    <mergeCell ref="B61:B63"/>
    <mergeCell ref="Q69:S69"/>
    <mergeCell ref="B70:D70"/>
    <mergeCell ref="G70:L70"/>
    <mergeCell ref="Q70:S70"/>
    <mergeCell ref="A64:G64"/>
  </mergeCells>
  <pageMargins left="0.23622047244094491" right="0.23622047244094491" top="0.39370078740157483" bottom="0.39370078740157483" header="0.31496062992125984" footer="0.31496062992125984"/>
  <pageSetup paperSize="5" scale="34" fitToHeight="0" orientation="landscape" r:id="rId1"/>
  <headerFooter>
    <oddFooter>&amp;CPágina &amp;P de &amp;N</oddFooter>
  </headerFooter>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5DE8-8F72-42D1-9727-309347F524AB}">
  <sheetPr codeName="Sheet13">
    <pageSetUpPr fitToPage="1"/>
  </sheetPr>
  <dimension ref="A11:U44"/>
  <sheetViews>
    <sheetView workbookViewId="0"/>
  </sheetViews>
  <sheetFormatPr defaultColWidth="11.42578125" defaultRowHeight="14.25" x14ac:dyDescent="0.2"/>
  <cols>
    <col min="1" max="1" width="50.28515625" style="2" customWidth="1"/>
    <col min="2" max="2" width="30.85546875" style="2" customWidth="1"/>
    <col min="3" max="3" width="33.85546875" style="5" customWidth="1"/>
    <col min="4" max="4" width="19.140625" style="2" customWidth="1"/>
    <col min="5" max="5" width="17.28515625" style="2" customWidth="1"/>
    <col min="6" max="6" width="53.42578125" style="2" customWidth="1"/>
    <col min="7" max="7" width="11.28515625" style="2" customWidth="1"/>
    <col min="8" max="8" width="16" style="2" customWidth="1"/>
    <col min="9" max="9" width="12" style="2" customWidth="1"/>
    <col min="10" max="11" width="8.7109375" style="2" customWidth="1"/>
    <col min="12" max="12" width="9.42578125" style="2" customWidth="1"/>
    <col min="13" max="13" width="8.7109375" style="2" customWidth="1"/>
    <col min="14" max="14" width="12.28515625" style="2" customWidth="1"/>
    <col min="15" max="15" width="21.28515625" style="2" customWidth="1"/>
    <col min="16" max="16" width="13.140625" style="2" customWidth="1"/>
    <col min="17" max="17" width="16.7109375" style="2" customWidth="1"/>
    <col min="18" max="18" width="16" style="2" customWidth="1"/>
    <col min="19" max="19" width="21.28515625" style="2" customWidth="1"/>
    <col min="20" max="20" width="36.85546875" style="2" customWidth="1"/>
    <col min="21" max="21" width="27.85546875" style="2" customWidth="1"/>
    <col min="22" max="16384" width="11.42578125" style="2"/>
  </cols>
  <sheetData>
    <row r="11" spans="1:21" ht="19.5" x14ac:dyDescent="0.25">
      <c r="A11" s="858" t="s">
        <v>0</v>
      </c>
      <c r="B11" s="858"/>
      <c r="C11" s="858"/>
      <c r="D11" s="858"/>
      <c r="E11" s="858"/>
      <c r="F11" s="858"/>
      <c r="G11" s="858"/>
      <c r="H11" s="858"/>
      <c r="I11" s="858"/>
      <c r="J11" s="858"/>
      <c r="K11" s="858"/>
      <c r="L11" s="858"/>
      <c r="M11" s="858"/>
      <c r="N11" s="858"/>
      <c r="O11" s="858"/>
      <c r="P11" s="858"/>
      <c r="Q11" s="858"/>
      <c r="R11" s="858"/>
      <c r="S11" s="858"/>
      <c r="T11" s="858"/>
      <c r="U11" s="858"/>
    </row>
    <row r="12" spans="1:21" ht="19.5" x14ac:dyDescent="0.25">
      <c r="A12" s="858" t="s">
        <v>1</v>
      </c>
      <c r="B12" s="858"/>
      <c r="C12" s="858"/>
      <c r="D12" s="858"/>
      <c r="E12" s="858"/>
      <c r="F12" s="858"/>
      <c r="G12" s="858"/>
      <c r="H12" s="858"/>
      <c r="I12" s="858"/>
      <c r="J12" s="858"/>
      <c r="K12" s="858"/>
      <c r="L12" s="858"/>
      <c r="M12" s="858"/>
      <c r="N12" s="858"/>
      <c r="O12" s="858"/>
      <c r="P12" s="858"/>
      <c r="Q12" s="858"/>
      <c r="R12" s="858"/>
      <c r="S12" s="858"/>
      <c r="T12" s="858"/>
      <c r="U12" s="858"/>
    </row>
    <row r="13" spans="1:21" ht="19.5" x14ac:dyDescent="0.25">
      <c r="A13" s="1"/>
      <c r="B13" s="1"/>
      <c r="C13" s="3"/>
      <c r="D13" s="1"/>
      <c r="E13" s="1"/>
      <c r="F13" s="1"/>
      <c r="G13" s="1"/>
      <c r="H13" s="1"/>
      <c r="I13" s="1"/>
      <c r="J13" s="1"/>
      <c r="K13" s="1"/>
      <c r="L13" s="1"/>
      <c r="M13" s="1"/>
      <c r="N13" s="1"/>
      <c r="O13" s="1"/>
      <c r="P13" s="1"/>
      <c r="Q13" s="1"/>
      <c r="R13" s="1"/>
      <c r="S13" s="1"/>
      <c r="T13" s="1"/>
    </row>
    <row r="14" spans="1:21" ht="15" x14ac:dyDescent="0.2">
      <c r="A14" s="100" t="s">
        <v>2</v>
      </c>
      <c r="B14" s="848" t="s">
        <v>495</v>
      </c>
      <c r="C14" s="848"/>
      <c r="D14" s="848"/>
      <c r="E14" s="848"/>
      <c r="F14" s="848"/>
      <c r="G14" s="848"/>
      <c r="H14" s="848"/>
      <c r="I14" s="848"/>
      <c r="J14" s="848"/>
      <c r="K14" s="848"/>
      <c r="L14" s="848"/>
      <c r="M14" s="848"/>
      <c r="N14" s="848"/>
      <c r="O14" s="848"/>
      <c r="P14" s="848"/>
      <c r="Q14" s="848"/>
      <c r="R14" s="848"/>
      <c r="S14" s="848"/>
      <c r="T14" s="848"/>
      <c r="U14" s="848"/>
    </row>
    <row r="15" spans="1:21" ht="15" x14ac:dyDescent="0.2">
      <c r="A15" s="100" t="s">
        <v>3</v>
      </c>
      <c r="B15" s="966" t="s">
        <v>496</v>
      </c>
      <c r="C15" s="967"/>
      <c r="D15" s="967"/>
      <c r="E15" s="967"/>
      <c r="F15" s="967"/>
      <c r="G15" s="967"/>
      <c r="H15" s="967"/>
      <c r="I15" s="967"/>
      <c r="J15" s="967"/>
      <c r="K15" s="967"/>
      <c r="L15" s="967"/>
      <c r="M15" s="967"/>
      <c r="N15" s="967"/>
      <c r="O15" s="967"/>
      <c r="P15" s="967"/>
      <c r="Q15" s="967"/>
      <c r="R15" s="967"/>
      <c r="S15" s="967"/>
      <c r="T15" s="967"/>
      <c r="U15" s="968"/>
    </row>
    <row r="16" spans="1:21" ht="15" x14ac:dyDescent="0.2">
      <c r="A16" s="100" t="s">
        <v>5</v>
      </c>
      <c r="B16" s="966" t="s">
        <v>497</v>
      </c>
      <c r="C16" s="967"/>
      <c r="D16" s="967"/>
      <c r="E16" s="967"/>
      <c r="F16" s="967"/>
      <c r="G16" s="967"/>
      <c r="H16" s="967"/>
      <c r="I16" s="967"/>
      <c r="J16" s="967"/>
      <c r="K16" s="967"/>
      <c r="L16" s="967"/>
      <c r="M16" s="967"/>
      <c r="N16" s="967"/>
      <c r="O16" s="967"/>
      <c r="P16" s="967"/>
      <c r="Q16" s="967"/>
      <c r="R16" s="967"/>
      <c r="S16" s="967"/>
      <c r="T16" s="967"/>
      <c r="U16" s="968"/>
    </row>
    <row r="17" spans="1:21" ht="15" x14ac:dyDescent="0.2">
      <c r="A17" s="238"/>
      <c r="B17" s="101"/>
      <c r="C17" s="126"/>
      <c r="D17" s="101"/>
      <c r="E17" s="101"/>
      <c r="F17" s="101"/>
      <c r="G17" s="101"/>
      <c r="H17" s="101"/>
      <c r="I17" s="101"/>
      <c r="J17" s="101"/>
      <c r="K17" s="101"/>
      <c r="L17" s="101"/>
      <c r="M17" s="101"/>
      <c r="N17" s="101"/>
      <c r="O17" s="101"/>
      <c r="P17" s="101"/>
      <c r="Q17" s="101"/>
      <c r="R17" s="101"/>
      <c r="S17" s="101"/>
      <c r="T17" s="101"/>
    </row>
    <row r="18" spans="1:21" ht="23.25" customHeight="1" x14ac:dyDescent="0.2">
      <c r="A18" s="845" t="s">
        <v>6</v>
      </c>
      <c r="B18" s="845" t="s">
        <v>7</v>
      </c>
      <c r="C18" s="845" t="s">
        <v>8</v>
      </c>
      <c r="D18" s="846" t="s">
        <v>9</v>
      </c>
      <c r="E18" s="846"/>
      <c r="F18" s="845" t="s">
        <v>10</v>
      </c>
      <c r="G18" s="847" t="s">
        <v>11</v>
      </c>
      <c r="H18" s="847"/>
      <c r="I18" s="847"/>
      <c r="J18" s="847" t="s">
        <v>12</v>
      </c>
      <c r="K18" s="847"/>
      <c r="L18" s="847"/>
      <c r="M18" s="847" t="s">
        <v>13</v>
      </c>
      <c r="N18" s="847"/>
      <c r="O18" s="847"/>
      <c r="P18" s="847" t="s">
        <v>14</v>
      </c>
      <c r="Q18" s="847"/>
      <c r="R18" s="847"/>
      <c r="S18" s="845" t="s">
        <v>15</v>
      </c>
      <c r="T18" s="845" t="s">
        <v>16</v>
      </c>
      <c r="U18" s="845" t="s">
        <v>49</v>
      </c>
    </row>
    <row r="19" spans="1:21" s="4" customFormat="1" ht="30" x14ac:dyDescent="0.25">
      <c r="A19" s="845"/>
      <c r="B19" s="845"/>
      <c r="C19" s="845"/>
      <c r="D19" s="96" t="s">
        <v>17</v>
      </c>
      <c r="E19" s="96" t="s">
        <v>18</v>
      </c>
      <c r="F19" s="845"/>
      <c r="G19" s="96" t="s">
        <v>19</v>
      </c>
      <c r="H19" s="96" t="s">
        <v>20</v>
      </c>
      <c r="I19" s="96" t="s">
        <v>21</v>
      </c>
      <c r="J19" s="96" t="s">
        <v>22</v>
      </c>
      <c r="K19" s="96" t="s">
        <v>23</v>
      </c>
      <c r="L19" s="96" t="s">
        <v>24</v>
      </c>
      <c r="M19" s="96" t="s">
        <v>25</v>
      </c>
      <c r="N19" s="96" t="s">
        <v>26</v>
      </c>
      <c r="O19" s="96" t="s">
        <v>27</v>
      </c>
      <c r="P19" s="96" t="s">
        <v>28</v>
      </c>
      <c r="Q19" s="96" t="s">
        <v>29</v>
      </c>
      <c r="R19" s="96" t="s">
        <v>30</v>
      </c>
      <c r="S19" s="845"/>
      <c r="T19" s="845"/>
      <c r="U19" s="845"/>
    </row>
    <row r="20" spans="1:21" ht="65.25" customHeight="1" x14ac:dyDescent="0.2">
      <c r="A20" s="941" t="s">
        <v>978</v>
      </c>
      <c r="B20" s="941" t="s">
        <v>498</v>
      </c>
      <c r="C20" s="105" t="s">
        <v>499</v>
      </c>
      <c r="D20" s="942" t="s">
        <v>18</v>
      </c>
      <c r="E20" s="131">
        <v>1</v>
      </c>
      <c r="F20" s="132" t="s">
        <v>979</v>
      </c>
      <c r="G20" s="239"/>
      <c r="H20" s="131">
        <v>1</v>
      </c>
      <c r="I20" s="131"/>
      <c r="J20" s="239"/>
      <c r="K20" s="131"/>
      <c r="L20" s="131"/>
      <c r="M20" s="131"/>
      <c r="N20" s="239"/>
      <c r="O20" s="131"/>
      <c r="P20" s="131"/>
      <c r="Q20" s="131"/>
      <c r="R20" s="131"/>
      <c r="S20" s="158">
        <f>+'Presupuesto Calidad en la Gest'!U22+'Presupuesto Calidad en la Gest'!U21</f>
        <v>745860</v>
      </c>
      <c r="T20" s="942" t="s">
        <v>500</v>
      </c>
      <c r="U20" s="942"/>
    </row>
    <row r="21" spans="1:21" ht="99" customHeight="1" x14ac:dyDescent="0.2">
      <c r="A21" s="941"/>
      <c r="B21" s="941"/>
      <c r="C21" s="105" t="s">
        <v>501</v>
      </c>
      <c r="D21" s="942"/>
      <c r="E21" s="131">
        <v>2</v>
      </c>
      <c r="F21" s="132" t="s">
        <v>980</v>
      </c>
      <c r="G21" s="131"/>
      <c r="H21" s="131"/>
      <c r="I21" s="131"/>
      <c r="J21" s="131"/>
      <c r="K21" s="131"/>
      <c r="L21" s="131">
        <v>1</v>
      </c>
      <c r="M21" s="131"/>
      <c r="N21" s="131"/>
      <c r="O21" s="131"/>
      <c r="P21" s="131"/>
      <c r="Q21" s="131"/>
      <c r="R21" s="131"/>
      <c r="S21" s="158">
        <f>+'Presupuesto Calidad en la Gest'!U23</f>
        <v>20000</v>
      </c>
      <c r="T21" s="942"/>
      <c r="U21" s="942"/>
    </row>
    <row r="22" spans="1:21" ht="99" customHeight="1" x14ac:dyDescent="0.2">
      <c r="A22" s="941"/>
      <c r="B22" s="941"/>
      <c r="C22" s="105" t="s">
        <v>640</v>
      </c>
      <c r="D22" s="942"/>
      <c r="E22" s="131">
        <v>1</v>
      </c>
      <c r="F22" s="132" t="s">
        <v>981</v>
      </c>
      <c r="G22" s="131"/>
      <c r="H22" s="131"/>
      <c r="I22" s="131"/>
      <c r="J22" s="131"/>
      <c r="K22" s="131"/>
      <c r="L22" s="131"/>
      <c r="M22" s="131"/>
      <c r="N22" s="131"/>
      <c r="O22" s="131"/>
      <c r="P22" s="131">
        <v>1</v>
      </c>
      <c r="Q22" s="131"/>
      <c r="R22" s="131"/>
      <c r="S22" s="481">
        <v>0</v>
      </c>
      <c r="T22" s="942"/>
      <c r="U22" s="942"/>
    </row>
    <row r="23" spans="1:21" ht="99" customHeight="1" x14ac:dyDescent="0.2">
      <c r="A23" s="941"/>
      <c r="B23" s="941"/>
      <c r="C23" s="105" t="s">
        <v>499</v>
      </c>
      <c r="D23" s="942"/>
      <c r="E23" s="131">
        <v>1</v>
      </c>
      <c r="F23" s="132" t="s">
        <v>982</v>
      </c>
      <c r="G23" s="131"/>
      <c r="H23" s="131"/>
      <c r="I23" s="131"/>
      <c r="J23" s="131"/>
      <c r="K23" s="131"/>
      <c r="L23" s="131"/>
      <c r="M23" s="131"/>
      <c r="N23" s="131"/>
      <c r="O23" s="131"/>
      <c r="P23" s="131"/>
      <c r="Q23" s="131">
        <v>1</v>
      </c>
      <c r="R23" s="131"/>
      <c r="S23" s="158">
        <f>+'Presupuesto Calidad en la Gest'!U24+'Presupuesto Calidad en la Gest'!U25</f>
        <v>1077605</v>
      </c>
      <c r="T23" s="942"/>
      <c r="U23" s="942"/>
    </row>
    <row r="24" spans="1:21" ht="95.25" customHeight="1" x14ac:dyDescent="0.2">
      <c r="A24" s="941"/>
      <c r="B24" s="132" t="s">
        <v>502</v>
      </c>
      <c r="C24" s="132" t="s">
        <v>503</v>
      </c>
      <c r="D24" s="131" t="s">
        <v>31</v>
      </c>
      <c r="E24" s="223">
        <v>1</v>
      </c>
      <c r="F24" s="132" t="s">
        <v>983</v>
      </c>
      <c r="G24" s="131"/>
      <c r="H24" s="131"/>
      <c r="I24" s="131"/>
      <c r="J24" s="131"/>
      <c r="K24" s="131"/>
      <c r="L24" s="223">
        <v>0.5</v>
      </c>
      <c r="M24" s="131"/>
      <c r="N24" s="131"/>
      <c r="O24" s="131"/>
      <c r="P24" s="131"/>
      <c r="Q24" s="223"/>
      <c r="R24" s="223">
        <v>0.5</v>
      </c>
      <c r="S24" s="481">
        <v>0</v>
      </c>
      <c r="T24" s="131" t="s">
        <v>504</v>
      </c>
      <c r="U24" s="131"/>
    </row>
    <row r="25" spans="1:21" ht="60.75" customHeight="1" x14ac:dyDescent="0.2">
      <c r="A25" s="149" t="s">
        <v>984</v>
      </c>
      <c r="B25" s="149" t="s">
        <v>505</v>
      </c>
      <c r="C25" s="149" t="s">
        <v>506</v>
      </c>
      <c r="D25" s="135" t="s">
        <v>18</v>
      </c>
      <c r="E25" s="135">
        <v>2</v>
      </c>
      <c r="F25" s="149" t="s">
        <v>985</v>
      </c>
      <c r="G25" s="135"/>
      <c r="H25" s="135"/>
      <c r="I25" s="135"/>
      <c r="J25" s="135">
        <v>1</v>
      </c>
      <c r="K25" s="135"/>
      <c r="L25" s="135"/>
      <c r="M25" s="240"/>
      <c r="N25" s="135"/>
      <c r="O25" s="135"/>
      <c r="P25" s="135"/>
      <c r="Q25" s="135">
        <v>1</v>
      </c>
      <c r="R25" s="135"/>
      <c r="S25" s="482">
        <v>0</v>
      </c>
      <c r="T25" s="135" t="s">
        <v>507</v>
      </c>
      <c r="U25" s="21"/>
    </row>
    <row r="26" spans="1:21" ht="87.75" customHeight="1" x14ac:dyDescent="0.2">
      <c r="A26" s="132" t="s">
        <v>986</v>
      </c>
      <c r="B26" s="132" t="s">
        <v>508</v>
      </c>
      <c r="C26" s="132" t="s">
        <v>509</v>
      </c>
      <c r="D26" s="131" t="s">
        <v>18</v>
      </c>
      <c r="E26" s="107">
        <v>4</v>
      </c>
      <c r="F26" s="105" t="s">
        <v>987</v>
      </c>
      <c r="G26" s="107"/>
      <c r="H26" s="107"/>
      <c r="I26" s="107">
        <v>1</v>
      </c>
      <c r="J26" s="107"/>
      <c r="K26" s="107"/>
      <c r="L26" s="107">
        <v>1</v>
      </c>
      <c r="M26" s="107"/>
      <c r="N26" s="107"/>
      <c r="O26" s="107">
        <v>1</v>
      </c>
      <c r="P26" s="107"/>
      <c r="Q26" s="107"/>
      <c r="R26" s="107">
        <v>1</v>
      </c>
      <c r="S26" s="154">
        <v>0</v>
      </c>
      <c r="T26" s="131" t="s">
        <v>507</v>
      </c>
      <c r="U26" s="131"/>
    </row>
    <row r="27" spans="1:21" ht="60" customHeight="1" x14ac:dyDescent="0.2">
      <c r="A27" s="969" t="s">
        <v>988</v>
      </c>
      <c r="B27" s="149" t="s">
        <v>510</v>
      </c>
      <c r="C27" s="483" t="s">
        <v>511</v>
      </c>
      <c r="D27" s="484" t="s">
        <v>18</v>
      </c>
      <c r="E27" s="484">
        <v>1</v>
      </c>
      <c r="F27" s="149" t="s">
        <v>989</v>
      </c>
      <c r="G27" s="484" t="s">
        <v>512</v>
      </c>
      <c r="H27" s="484" t="s">
        <v>512</v>
      </c>
      <c r="I27" s="484" t="s">
        <v>512</v>
      </c>
      <c r="J27" s="484" t="s">
        <v>512</v>
      </c>
      <c r="K27" s="484" t="s">
        <v>512</v>
      </c>
      <c r="L27" s="242">
        <v>1</v>
      </c>
      <c r="M27" s="484"/>
      <c r="N27" s="484" t="s">
        <v>512</v>
      </c>
      <c r="O27" s="484" t="s">
        <v>512</v>
      </c>
      <c r="P27" s="484" t="s">
        <v>512</v>
      </c>
      <c r="Q27" s="484" t="s">
        <v>512</v>
      </c>
      <c r="R27" s="484"/>
      <c r="S27" s="241">
        <v>0</v>
      </c>
      <c r="T27" s="242" t="s">
        <v>513</v>
      </c>
      <c r="U27" s="21"/>
    </row>
    <row r="28" spans="1:21" ht="49.5" customHeight="1" x14ac:dyDescent="0.2">
      <c r="A28" s="969"/>
      <c r="B28" s="149" t="s">
        <v>514</v>
      </c>
      <c r="C28" s="483" t="s">
        <v>515</v>
      </c>
      <c r="D28" s="242" t="s">
        <v>18</v>
      </c>
      <c r="E28" s="242">
        <v>1</v>
      </c>
      <c r="F28" s="120" t="s">
        <v>1066</v>
      </c>
      <c r="G28" s="242" t="s">
        <v>512</v>
      </c>
      <c r="H28" s="242" t="s">
        <v>512</v>
      </c>
      <c r="I28" s="242" t="s">
        <v>512</v>
      </c>
      <c r="J28" s="242" t="s">
        <v>512</v>
      </c>
      <c r="K28" s="242" t="s">
        <v>512</v>
      </c>
      <c r="L28" s="242">
        <v>1</v>
      </c>
      <c r="M28" s="242" t="s">
        <v>512</v>
      </c>
      <c r="N28" s="242" t="s">
        <v>512</v>
      </c>
      <c r="O28" s="242" t="s">
        <v>512</v>
      </c>
      <c r="P28" s="242" t="s">
        <v>512</v>
      </c>
      <c r="Q28" s="242" t="s">
        <v>512</v>
      </c>
      <c r="R28" s="242"/>
      <c r="S28" s="241"/>
      <c r="T28" s="242" t="s">
        <v>516</v>
      </c>
      <c r="U28" s="21"/>
    </row>
    <row r="29" spans="1:21" ht="89.25" customHeight="1" x14ac:dyDescent="0.2">
      <c r="A29" s="485" t="s">
        <v>990</v>
      </c>
      <c r="B29" s="132" t="s">
        <v>517</v>
      </c>
      <c r="C29" s="132" t="s">
        <v>518</v>
      </c>
      <c r="D29" s="243" t="s">
        <v>31</v>
      </c>
      <c r="E29" s="486">
        <v>1</v>
      </c>
      <c r="F29" s="132" t="s">
        <v>991</v>
      </c>
      <c r="G29" s="243" t="s">
        <v>512</v>
      </c>
      <c r="H29" s="243" t="s">
        <v>512</v>
      </c>
      <c r="I29" s="486">
        <v>1</v>
      </c>
      <c r="J29" s="243" t="s">
        <v>512</v>
      </c>
      <c r="K29" s="243" t="s">
        <v>512</v>
      </c>
      <c r="L29" s="279">
        <v>1</v>
      </c>
      <c r="M29" s="243" t="s">
        <v>512</v>
      </c>
      <c r="N29" s="243" t="s">
        <v>512</v>
      </c>
      <c r="O29" s="486">
        <v>1</v>
      </c>
      <c r="P29" s="243" t="s">
        <v>512</v>
      </c>
      <c r="Q29" s="243" t="s">
        <v>512</v>
      </c>
      <c r="R29" s="486">
        <v>1</v>
      </c>
      <c r="S29" s="487">
        <v>0</v>
      </c>
      <c r="T29" s="243" t="s">
        <v>519</v>
      </c>
      <c r="U29" s="243"/>
    </row>
    <row r="30" spans="1:21" s="5" customFormat="1" ht="73.5" customHeight="1" x14ac:dyDescent="0.2">
      <c r="A30" s="594" t="s">
        <v>992</v>
      </c>
      <c r="B30" s="594" t="s">
        <v>520</v>
      </c>
      <c r="C30" s="594" t="s">
        <v>521</v>
      </c>
      <c r="D30" s="595" t="s">
        <v>522</v>
      </c>
      <c r="E30" s="111">
        <v>3</v>
      </c>
      <c r="F30" s="138" t="s">
        <v>993</v>
      </c>
      <c r="G30" s="596"/>
      <c r="H30" s="596"/>
      <c r="I30" s="596"/>
      <c r="J30" s="595">
        <v>1</v>
      </c>
      <c r="K30" s="595"/>
      <c r="L30" s="596"/>
      <c r="M30" s="596"/>
      <c r="N30" s="595">
        <v>1</v>
      </c>
      <c r="O30" s="597"/>
      <c r="P30" s="596"/>
      <c r="Q30" s="596"/>
      <c r="R30" s="595">
        <v>1</v>
      </c>
      <c r="S30" s="598">
        <v>0</v>
      </c>
      <c r="T30" s="595" t="s">
        <v>523</v>
      </c>
      <c r="U30" s="595"/>
    </row>
    <row r="31" spans="1:21" s="604" customFormat="1" ht="67.5" customHeight="1" x14ac:dyDescent="0.25">
      <c r="A31" s="149" t="s">
        <v>994</v>
      </c>
      <c r="B31" s="149" t="s">
        <v>524</v>
      </c>
      <c r="C31" s="149" t="s">
        <v>525</v>
      </c>
      <c r="D31" s="135" t="s">
        <v>18</v>
      </c>
      <c r="E31" s="135">
        <v>4</v>
      </c>
      <c r="F31" s="149" t="s">
        <v>995</v>
      </c>
      <c r="G31" s="120"/>
      <c r="H31" s="120"/>
      <c r="I31" s="135"/>
      <c r="J31" s="135">
        <v>1</v>
      </c>
      <c r="K31" s="135"/>
      <c r="L31" s="135"/>
      <c r="M31" s="135">
        <v>1</v>
      </c>
      <c r="N31" s="135"/>
      <c r="O31" s="135"/>
      <c r="P31" s="135">
        <v>1</v>
      </c>
      <c r="Q31" s="135"/>
      <c r="R31" s="135">
        <v>1</v>
      </c>
      <c r="S31" s="247">
        <v>0</v>
      </c>
      <c r="T31" s="135" t="s">
        <v>526</v>
      </c>
      <c r="U31" s="359"/>
    </row>
    <row r="32" spans="1:21" s="604" customFormat="1" ht="77.25" customHeight="1" x14ac:dyDescent="0.25">
      <c r="A32" s="149" t="s">
        <v>1065</v>
      </c>
      <c r="B32" s="149" t="s">
        <v>527</v>
      </c>
      <c r="C32" s="149" t="s">
        <v>528</v>
      </c>
      <c r="D32" s="135" t="s">
        <v>31</v>
      </c>
      <c r="E32" s="135">
        <v>1</v>
      </c>
      <c r="F32" s="149" t="s">
        <v>1064</v>
      </c>
      <c r="G32" s="135"/>
      <c r="H32" s="135"/>
      <c r="I32" s="135"/>
      <c r="J32" s="135"/>
      <c r="K32" s="135"/>
      <c r="L32" s="240">
        <v>1</v>
      </c>
      <c r="M32" s="135"/>
      <c r="N32" s="135"/>
      <c r="O32" s="135"/>
      <c r="P32" s="135"/>
      <c r="Q32" s="135"/>
      <c r="R32" s="135"/>
      <c r="S32" s="247">
        <v>0</v>
      </c>
      <c r="T32" s="135" t="s">
        <v>529</v>
      </c>
      <c r="U32" s="359"/>
    </row>
    <row r="33" spans="1:21" ht="79.5" customHeight="1" x14ac:dyDescent="0.2">
      <c r="A33" s="599" t="s">
        <v>1063</v>
      </c>
      <c r="B33" s="599" t="s">
        <v>530</v>
      </c>
      <c r="C33" s="599" t="s">
        <v>531</v>
      </c>
      <c r="D33" s="600" t="s">
        <v>31</v>
      </c>
      <c r="E33" s="601">
        <v>1</v>
      </c>
      <c r="F33" s="541" t="s">
        <v>1062</v>
      </c>
      <c r="G33" s="602"/>
      <c r="H33" s="602"/>
      <c r="I33" s="602"/>
      <c r="J33" s="602"/>
      <c r="K33" s="602"/>
      <c r="L33" s="602"/>
      <c r="M33" s="602">
        <v>1</v>
      </c>
      <c r="N33" s="602"/>
      <c r="O33" s="602"/>
      <c r="P33" s="602"/>
      <c r="Q33" s="602"/>
      <c r="R33" s="602"/>
      <c r="S33" s="603">
        <v>0</v>
      </c>
      <c r="T33" s="602" t="s">
        <v>532</v>
      </c>
      <c r="U33" s="602"/>
    </row>
    <row r="34" spans="1:21" ht="79.5" customHeight="1" x14ac:dyDescent="0.2">
      <c r="A34" s="244" t="s">
        <v>1061</v>
      </c>
      <c r="B34" s="245" t="s">
        <v>533</v>
      </c>
      <c r="C34" s="245" t="s">
        <v>534</v>
      </c>
      <c r="D34" s="242" t="s">
        <v>18</v>
      </c>
      <c r="E34" s="246">
        <v>0.03</v>
      </c>
      <c r="F34" s="245" t="s">
        <v>1060</v>
      </c>
      <c r="G34" s="242"/>
      <c r="H34" s="242"/>
      <c r="I34" s="242"/>
      <c r="J34" s="242"/>
      <c r="K34" s="242"/>
      <c r="L34" s="242"/>
      <c r="M34" s="242"/>
      <c r="N34" s="242"/>
      <c r="O34" s="242"/>
      <c r="P34" s="246"/>
      <c r="Q34" s="242"/>
      <c r="R34" s="246">
        <v>1</v>
      </c>
      <c r="S34" s="247">
        <v>165000</v>
      </c>
      <c r="T34" s="242" t="s">
        <v>535</v>
      </c>
      <c r="U34" s="21"/>
    </row>
    <row r="35" spans="1:21" ht="15" x14ac:dyDescent="0.2">
      <c r="A35" s="96"/>
      <c r="B35" s="96"/>
      <c r="C35" s="96"/>
      <c r="D35" s="96"/>
      <c r="E35" s="96"/>
      <c r="F35" s="96"/>
      <c r="G35" s="96"/>
      <c r="H35" s="96"/>
      <c r="I35" s="96"/>
      <c r="J35" s="96"/>
      <c r="K35" s="96"/>
      <c r="L35" s="96"/>
      <c r="M35" s="96"/>
      <c r="N35" s="96"/>
      <c r="O35" s="96"/>
      <c r="P35" s="96"/>
      <c r="Q35" s="96"/>
      <c r="R35" s="96"/>
      <c r="S35" s="480">
        <f>SUM(S20:S33)</f>
        <v>1843465</v>
      </c>
      <c r="T35" s="96"/>
      <c r="U35" s="96"/>
    </row>
    <row r="36" spans="1:21" ht="15" x14ac:dyDescent="0.2">
      <c r="A36" s="101"/>
      <c r="B36" s="101"/>
      <c r="C36" s="126"/>
      <c r="D36" s="101"/>
      <c r="E36" s="101"/>
      <c r="F36" s="101"/>
      <c r="G36" s="101"/>
      <c r="H36" s="101"/>
      <c r="I36" s="101"/>
      <c r="J36" s="101"/>
      <c r="K36" s="101"/>
      <c r="L36" s="101"/>
      <c r="M36" s="101"/>
      <c r="N36" s="101"/>
      <c r="O36" s="101"/>
      <c r="P36" s="101"/>
      <c r="Q36" s="101"/>
      <c r="R36" s="101"/>
      <c r="S36" s="101"/>
      <c r="T36" s="101"/>
    </row>
    <row r="37" spans="1:21" customFormat="1" ht="15" x14ac:dyDescent="0.25"/>
    <row r="42" spans="1:21" ht="15.75" x14ac:dyDescent="0.25">
      <c r="B42" s="900"/>
      <c r="C42" s="900"/>
      <c r="D42" s="126"/>
      <c r="E42" s="101"/>
      <c r="F42" s="101"/>
      <c r="G42" s="478"/>
      <c r="H42" s="478"/>
      <c r="I42" s="478"/>
      <c r="J42" s="475"/>
      <c r="K42" s="475"/>
      <c r="L42" s="101"/>
      <c r="M42" s="101"/>
      <c r="N42" s="476"/>
      <c r="O42" s="476"/>
      <c r="P42" s="931"/>
      <c r="Q42" s="931"/>
      <c r="R42" s="475"/>
      <c r="S42" s="475"/>
      <c r="T42" s="478"/>
    </row>
    <row r="43" spans="1:21" ht="15.75" x14ac:dyDescent="0.25">
      <c r="B43" s="901" t="s">
        <v>1052</v>
      </c>
      <c r="C43" s="901"/>
      <c r="D43" s="126"/>
      <c r="E43" s="101"/>
      <c r="F43" s="101"/>
      <c r="G43" s="901" t="s">
        <v>536</v>
      </c>
      <c r="H43" s="901"/>
      <c r="I43" s="901"/>
      <c r="J43" s="901"/>
      <c r="K43" s="901"/>
      <c r="L43" s="101"/>
      <c r="M43" s="101"/>
      <c r="N43" s="477"/>
      <c r="O43" s="101"/>
      <c r="Q43" s="477"/>
      <c r="R43" s="901" t="s">
        <v>537</v>
      </c>
      <c r="S43" s="901"/>
      <c r="T43" s="901"/>
    </row>
    <row r="44" spans="1:21" ht="15.75" x14ac:dyDescent="0.25">
      <c r="B44" s="931" t="s">
        <v>1053</v>
      </c>
      <c r="C44" s="931"/>
      <c r="D44" s="126"/>
      <c r="E44" s="101"/>
      <c r="F44" s="101"/>
      <c r="G44" s="931" t="s">
        <v>546</v>
      </c>
      <c r="H44" s="931"/>
      <c r="I44" s="931"/>
      <c r="J44" s="931"/>
      <c r="K44" s="931"/>
      <c r="L44" s="101"/>
      <c r="M44" s="101"/>
      <c r="N44" s="476"/>
      <c r="O44" s="101"/>
      <c r="Q44" s="476"/>
      <c r="R44" s="931" t="s">
        <v>538</v>
      </c>
      <c r="S44" s="931"/>
      <c r="T44" s="931"/>
    </row>
  </sheetData>
  <mergeCells count="31">
    <mergeCell ref="A20:A24"/>
    <mergeCell ref="B20:B23"/>
    <mergeCell ref="D20:D23"/>
    <mergeCell ref="T20:T23"/>
    <mergeCell ref="B44:C44"/>
    <mergeCell ref="G44:K44"/>
    <mergeCell ref="R44:T44"/>
    <mergeCell ref="A27:A28"/>
    <mergeCell ref="B42:C42"/>
    <mergeCell ref="P42:Q42"/>
    <mergeCell ref="B43:C43"/>
    <mergeCell ref="G43:K43"/>
    <mergeCell ref="R43:T43"/>
    <mergeCell ref="U20:U23"/>
    <mergeCell ref="F18:F19"/>
    <mergeCell ref="B14:U14"/>
    <mergeCell ref="B15:U15"/>
    <mergeCell ref="B16:U16"/>
    <mergeCell ref="D18:E18"/>
    <mergeCell ref="A11:U11"/>
    <mergeCell ref="A12:U12"/>
    <mergeCell ref="U18:U19"/>
    <mergeCell ref="G18:I18"/>
    <mergeCell ref="J18:L18"/>
    <mergeCell ref="M18:O18"/>
    <mergeCell ref="P18:R18"/>
    <mergeCell ref="S18:S19"/>
    <mergeCell ref="T18:T19"/>
    <mergeCell ref="A18:A19"/>
    <mergeCell ref="B18:B19"/>
    <mergeCell ref="C18:C19"/>
  </mergeCells>
  <pageMargins left="0.23622047244094491" right="0.23622047244094491" top="0.39370078740157483" bottom="0.39370078740157483" header="0.39370078740157483" footer="0.39370078740157483"/>
  <pageSetup paperSize="5" scale="39" fitToHeight="0" orientation="landscape" r:id="rId1"/>
  <headerFooter>
    <oddFooter>&amp;CPágina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29337-4DA4-4C76-9DCB-EEEC4754B43C}">
  <sheetPr codeName="Sheet14">
    <pageSetUpPr fitToPage="1"/>
  </sheetPr>
  <dimension ref="A12:V40"/>
  <sheetViews>
    <sheetView topLeftCell="D1" zoomScale="44" zoomScaleNormal="44" workbookViewId="0">
      <selection activeCell="U21" activeCellId="1" sqref="E21:E26 U21:U26"/>
    </sheetView>
  </sheetViews>
  <sheetFormatPr defaultColWidth="11.42578125" defaultRowHeight="14.25" x14ac:dyDescent="0.2"/>
  <cols>
    <col min="1" max="1" width="44.140625" style="2" bestFit="1" customWidth="1"/>
    <col min="2" max="2" width="66.42578125" style="2" customWidth="1"/>
    <col min="3" max="3" width="26" style="2" customWidth="1"/>
    <col min="4" max="4" width="18.7109375" style="2" customWidth="1"/>
    <col min="5" max="5" width="15" style="8" customWidth="1"/>
    <col min="6" max="6" width="17.42578125" style="2" bestFit="1" customWidth="1"/>
    <col min="7" max="7" width="13.7109375" style="2" customWidth="1"/>
    <col min="8" max="8" width="17.85546875" style="9" bestFit="1" customWidth="1"/>
    <col min="9" max="9" width="14.42578125" style="2" customWidth="1"/>
    <col min="10" max="10" width="15.85546875" style="2" customWidth="1"/>
    <col min="11" max="11" width="14.7109375" style="2" customWidth="1"/>
    <col min="12" max="12" width="12.42578125" style="2" customWidth="1"/>
    <col min="13" max="13" width="15.28515625" style="2" customWidth="1"/>
    <col min="14" max="14" width="10.140625" style="2" customWidth="1"/>
    <col min="15" max="15" width="14.7109375" style="2" customWidth="1"/>
    <col min="16" max="16" width="16.140625" style="2" customWidth="1"/>
    <col min="17" max="17" width="18.7109375" style="2" customWidth="1"/>
    <col min="18" max="18" width="14.7109375" style="2" customWidth="1"/>
    <col min="19" max="19" width="22.5703125" style="2" customWidth="1"/>
    <col min="20" max="20" width="17.140625" style="2" customWidth="1"/>
    <col min="21" max="21" width="27.140625" style="2" bestFit="1" customWidth="1"/>
    <col min="22" max="22" width="32.7109375" style="4" customWidth="1"/>
    <col min="23" max="23" width="9.42578125" style="2" customWidth="1"/>
    <col min="24" max="24" width="5" style="2" customWidth="1"/>
    <col min="25" max="25" width="3.42578125" style="2" customWidth="1"/>
    <col min="26" max="26" width="8.7109375" style="2" customWidth="1"/>
    <col min="27" max="16384" width="11.42578125" style="2"/>
  </cols>
  <sheetData>
    <row r="12" spans="1:22" ht="19.5" x14ac:dyDescent="0.25">
      <c r="A12" s="858" t="s">
        <v>0</v>
      </c>
      <c r="B12" s="858"/>
      <c r="C12" s="858"/>
      <c r="D12" s="858"/>
      <c r="E12" s="858"/>
      <c r="F12" s="858"/>
      <c r="G12" s="858"/>
      <c r="H12" s="858"/>
      <c r="I12" s="858"/>
      <c r="J12" s="858"/>
      <c r="K12" s="858"/>
      <c r="L12" s="858"/>
      <c r="M12" s="858"/>
      <c r="N12" s="858"/>
      <c r="O12" s="858"/>
      <c r="P12" s="858"/>
      <c r="Q12" s="858"/>
      <c r="R12" s="858"/>
      <c r="S12" s="858"/>
      <c r="T12" s="858"/>
      <c r="U12" s="858"/>
      <c r="V12" s="858"/>
    </row>
    <row r="13" spans="1:22" ht="19.5" x14ac:dyDescent="0.25">
      <c r="A13" s="858" t="s">
        <v>431</v>
      </c>
      <c r="B13" s="858"/>
      <c r="C13" s="858"/>
      <c r="D13" s="858"/>
      <c r="E13" s="858"/>
      <c r="F13" s="858"/>
      <c r="G13" s="858"/>
      <c r="H13" s="858"/>
      <c r="I13" s="858"/>
      <c r="J13" s="858"/>
      <c r="K13" s="858"/>
      <c r="L13" s="858"/>
      <c r="M13" s="858"/>
      <c r="N13" s="858"/>
      <c r="O13" s="858"/>
      <c r="P13" s="858"/>
      <c r="Q13" s="858"/>
      <c r="R13" s="858"/>
      <c r="S13" s="858"/>
      <c r="T13" s="858"/>
      <c r="U13" s="858"/>
      <c r="V13" s="858"/>
    </row>
    <row r="14" spans="1:22" ht="19.5" x14ac:dyDescent="0.25">
      <c r="A14" s="858" t="s">
        <v>42</v>
      </c>
      <c r="B14" s="858"/>
      <c r="C14" s="858"/>
      <c r="D14" s="858"/>
      <c r="E14" s="858"/>
      <c r="F14" s="858"/>
      <c r="G14" s="858"/>
      <c r="H14" s="858"/>
      <c r="I14" s="858"/>
      <c r="J14" s="858"/>
      <c r="K14" s="858"/>
      <c r="L14" s="858"/>
      <c r="M14" s="858"/>
      <c r="N14" s="858"/>
      <c r="O14" s="858"/>
      <c r="P14" s="858"/>
      <c r="Q14" s="858"/>
      <c r="R14" s="858"/>
      <c r="S14" s="858"/>
      <c r="T14" s="858"/>
      <c r="U14" s="858"/>
      <c r="V14" s="858"/>
    </row>
    <row r="15" spans="1:22" ht="15" customHeight="1" x14ac:dyDescent="0.2">
      <c r="A15" s="100" t="s">
        <v>2</v>
      </c>
      <c r="B15" s="848" t="s">
        <v>495</v>
      </c>
      <c r="C15" s="848"/>
      <c r="D15" s="848"/>
      <c r="E15" s="848"/>
      <c r="F15" s="848"/>
      <c r="G15" s="848"/>
      <c r="H15" s="848"/>
      <c r="I15" s="848"/>
      <c r="J15" s="848"/>
      <c r="K15" s="848"/>
      <c r="L15" s="848"/>
      <c r="M15" s="848"/>
      <c r="N15" s="848"/>
      <c r="O15" s="848"/>
      <c r="P15" s="848"/>
      <c r="Q15" s="848"/>
      <c r="R15" s="848"/>
      <c r="S15" s="848"/>
      <c r="T15" s="848"/>
      <c r="U15" s="848"/>
      <c r="V15" s="848"/>
    </row>
    <row r="16" spans="1:22" ht="15" customHeight="1" x14ac:dyDescent="0.2">
      <c r="A16" s="100" t="s">
        <v>3</v>
      </c>
      <c r="B16" s="848" t="s">
        <v>539</v>
      </c>
      <c r="C16" s="848"/>
      <c r="D16" s="848"/>
      <c r="E16" s="848"/>
      <c r="F16" s="848"/>
      <c r="G16" s="848"/>
      <c r="H16" s="848"/>
      <c r="I16" s="848"/>
      <c r="J16" s="848"/>
      <c r="K16" s="848"/>
      <c r="L16" s="848"/>
      <c r="M16" s="848"/>
      <c r="N16" s="848"/>
      <c r="O16" s="848"/>
      <c r="P16" s="848"/>
      <c r="Q16" s="848"/>
      <c r="R16" s="848"/>
      <c r="S16" s="848"/>
      <c r="T16" s="848"/>
      <c r="U16" s="848"/>
      <c r="V16" s="848"/>
    </row>
    <row r="17" spans="1:22" ht="15" customHeight="1" x14ac:dyDescent="0.2">
      <c r="A17" s="100" t="s">
        <v>5</v>
      </c>
      <c r="B17" s="75" t="s">
        <v>497</v>
      </c>
      <c r="C17" s="76"/>
      <c r="D17" s="76"/>
      <c r="E17" s="77"/>
      <c r="F17" s="76"/>
      <c r="G17" s="76"/>
      <c r="H17" s="78"/>
      <c r="I17" s="76"/>
      <c r="J17" s="76"/>
      <c r="K17" s="76"/>
      <c r="L17" s="76"/>
      <c r="M17" s="76"/>
      <c r="N17" s="76"/>
      <c r="O17" s="76"/>
      <c r="P17" s="76"/>
      <c r="Q17" s="76"/>
      <c r="R17" s="76"/>
      <c r="S17" s="76"/>
      <c r="T17" s="76"/>
      <c r="U17" s="76"/>
      <c r="V17" s="79"/>
    </row>
    <row r="18" spans="1:22" ht="15" x14ac:dyDescent="0.2">
      <c r="A18" s="101"/>
      <c r="B18" s="101"/>
      <c r="C18" s="101"/>
      <c r="D18" s="101"/>
      <c r="E18" s="127"/>
      <c r="F18" s="101"/>
      <c r="G18" s="101"/>
      <c r="H18" s="128"/>
      <c r="I18" s="101"/>
      <c r="J18" s="101"/>
      <c r="K18" s="101"/>
      <c r="L18" s="101"/>
      <c r="M18" s="101"/>
      <c r="N18" s="101"/>
      <c r="O18" s="101"/>
      <c r="P18" s="101"/>
      <c r="Q18" s="101"/>
      <c r="R18" s="101"/>
      <c r="S18" s="101"/>
      <c r="T18" s="101"/>
      <c r="U18" s="101"/>
      <c r="V18" s="156"/>
    </row>
    <row r="19" spans="1:22" ht="15" x14ac:dyDescent="0.2">
      <c r="A19" s="845" t="s">
        <v>6</v>
      </c>
      <c r="B19" s="845" t="s">
        <v>10</v>
      </c>
      <c r="C19" s="845" t="s">
        <v>43</v>
      </c>
      <c r="D19" s="845" t="s">
        <v>44</v>
      </c>
      <c r="E19" s="845" t="s">
        <v>540</v>
      </c>
      <c r="F19" s="845" t="s">
        <v>46</v>
      </c>
      <c r="G19" s="845" t="s">
        <v>47</v>
      </c>
      <c r="H19" s="845" t="s">
        <v>48</v>
      </c>
      <c r="I19" s="847" t="s">
        <v>11</v>
      </c>
      <c r="J19" s="847"/>
      <c r="K19" s="847"/>
      <c r="L19" s="847" t="s">
        <v>12</v>
      </c>
      <c r="M19" s="847"/>
      <c r="N19" s="847"/>
      <c r="O19" s="847" t="s">
        <v>13</v>
      </c>
      <c r="P19" s="847"/>
      <c r="Q19" s="847"/>
      <c r="R19" s="847" t="s">
        <v>14</v>
      </c>
      <c r="S19" s="847"/>
      <c r="T19" s="847"/>
      <c r="U19" s="845" t="s">
        <v>15</v>
      </c>
      <c r="V19" s="845" t="s">
        <v>49</v>
      </c>
    </row>
    <row r="20" spans="1:22" s="4" customFormat="1" ht="15" x14ac:dyDescent="0.25">
      <c r="A20" s="845"/>
      <c r="B20" s="845"/>
      <c r="C20" s="845"/>
      <c r="D20" s="845"/>
      <c r="E20" s="845"/>
      <c r="F20" s="845"/>
      <c r="G20" s="845"/>
      <c r="H20" s="845"/>
      <c r="I20" s="96" t="s">
        <v>19</v>
      </c>
      <c r="J20" s="96" t="s">
        <v>20</v>
      </c>
      <c r="K20" s="96" t="s">
        <v>21</v>
      </c>
      <c r="L20" s="96" t="s">
        <v>22</v>
      </c>
      <c r="M20" s="96" t="s">
        <v>23</v>
      </c>
      <c r="N20" s="96" t="s">
        <v>24</v>
      </c>
      <c r="O20" s="96" t="s">
        <v>25</v>
      </c>
      <c r="P20" s="96" t="s">
        <v>26</v>
      </c>
      <c r="Q20" s="96" t="s">
        <v>27</v>
      </c>
      <c r="R20" s="96" t="s">
        <v>28</v>
      </c>
      <c r="S20" s="96" t="s">
        <v>29</v>
      </c>
      <c r="T20" s="96" t="s">
        <v>30</v>
      </c>
      <c r="U20" s="845"/>
      <c r="V20" s="845"/>
    </row>
    <row r="21" spans="1:22" ht="42.75" customHeight="1" x14ac:dyDescent="0.2">
      <c r="A21" s="941" t="s">
        <v>978</v>
      </c>
      <c r="B21" s="941" t="s">
        <v>996</v>
      </c>
      <c r="C21" s="131" t="s">
        <v>50</v>
      </c>
      <c r="D21" s="131" t="s">
        <v>323</v>
      </c>
      <c r="E21" s="131" t="str">
        <f>'[2]Table 1'!$A$252</f>
        <v>2.2.9.2.01</v>
      </c>
      <c r="F21" s="133" t="s">
        <v>484</v>
      </c>
      <c r="G21" s="133">
        <v>6</v>
      </c>
      <c r="H21" s="248">
        <v>1000</v>
      </c>
      <c r="I21" s="249" t="s">
        <v>77</v>
      </c>
      <c r="J21" s="249">
        <v>6000</v>
      </c>
      <c r="K21" s="249" t="s">
        <v>77</v>
      </c>
      <c r="L21" s="249" t="s">
        <v>77</v>
      </c>
      <c r="M21" s="249" t="s">
        <v>77</v>
      </c>
      <c r="N21" s="249" t="s">
        <v>77</v>
      </c>
      <c r="O21" s="249" t="s">
        <v>77</v>
      </c>
      <c r="P21" s="249" t="s">
        <v>77</v>
      </c>
      <c r="Q21" s="249" t="s">
        <v>77</v>
      </c>
      <c r="R21" s="249" t="s">
        <v>77</v>
      </c>
      <c r="S21" s="249" t="s">
        <v>77</v>
      </c>
      <c r="T21" s="249" t="s">
        <v>77</v>
      </c>
      <c r="U21" s="250">
        <f t="shared" ref="U21:U26" si="0">SUM(I21:T21)</f>
        <v>6000</v>
      </c>
      <c r="V21" s="251"/>
    </row>
    <row r="22" spans="1:22" ht="50.25" customHeight="1" x14ac:dyDescent="0.2">
      <c r="A22" s="941"/>
      <c r="B22" s="941"/>
      <c r="C22" s="131" t="s">
        <v>486</v>
      </c>
      <c r="D22" s="131" t="s">
        <v>541</v>
      </c>
      <c r="E22" s="131" t="str">
        <f>'[2]Table 1'!$A$234</f>
        <v>2.2.8.7.06</v>
      </c>
      <c r="F22" s="133" t="s">
        <v>131</v>
      </c>
      <c r="G22" s="133">
        <v>1</v>
      </c>
      <c r="H22" s="248">
        <v>739860</v>
      </c>
      <c r="I22" s="249" t="s">
        <v>77</v>
      </c>
      <c r="J22" s="248">
        <v>739860</v>
      </c>
      <c r="K22" s="249" t="s">
        <v>77</v>
      </c>
      <c r="L22" s="249" t="s">
        <v>77</v>
      </c>
      <c r="M22" s="249" t="s">
        <v>77</v>
      </c>
      <c r="N22" s="249" t="s">
        <v>77</v>
      </c>
      <c r="O22" s="249" t="s">
        <v>77</v>
      </c>
      <c r="P22" s="249" t="s">
        <v>77</v>
      </c>
      <c r="Q22" s="249" t="s">
        <v>77</v>
      </c>
      <c r="R22" s="249" t="s">
        <v>77</v>
      </c>
      <c r="S22" s="249" t="s">
        <v>77</v>
      </c>
      <c r="T22" s="249" t="s">
        <v>77</v>
      </c>
      <c r="U22" s="250">
        <f t="shared" si="0"/>
        <v>739860</v>
      </c>
      <c r="V22" s="251"/>
    </row>
    <row r="23" spans="1:22" ht="63" customHeight="1" x14ac:dyDescent="0.2">
      <c r="A23" s="941"/>
      <c r="B23" s="105" t="s">
        <v>980</v>
      </c>
      <c r="C23" s="131" t="s">
        <v>50</v>
      </c>
      <c r="D23" s="131" t="s">
        <v>542</v>
      </c>
      <c r="E23" s="131" t="str">
        <f>'[2]Table 1'!$A$123</f>
        <v>2.2.3.1.01</v>
      </c>
      <c r="F23" s="133" t="s">
        <v>131</v>
      </c>
      <c r="G23" s="133">
        <v>1</v>
      </c>
      <c r="H23" s="248">
        <v>20000</v>
      </c>
      <c r="I23" s="249" t="s">
        <v>77</v>
      </c>
      <c r="J23" s="249" t="s">
        <v>77</v>
      </c>
      <c r="K23" s="249" t="s">
        <v>77</v>
      </c>
      <c r="L23" s="249" t="s">
        <v>77</v>
      </c>
      <c r="M23" s="249">
        <v>20000</v>
      </c>
      <c r="N23" s="249" t="s">
        <v>77</v>
      </c>
      <c r="O23" s="249" t="s">
        <v>77</v>
      </c>
      <c r="P23" s="249" t="s">
        <v>77</v>
      </c>
      <c r="Q23" s="249" t="s">
        <v>77</v>
      </c>
      <c r="R23" s="249" t="s">
        <v>77</v>
      </c>
      <c r="S23" s="249" t="s">
        <v>77</v>
      </c>
      <c r="T23" s="249" t="s">
        <v>77</v>
      </c>
      <c r="U23" s="250">
        <f t="shared" si="0"/>
        <v>20000</v>
      </c>
      <c r="V23" s="251"/>
    </row>
    <row r="24" spans="1:22" ht="138.75" customHeight="1" x14ac:dyDescent="0.2">
      <c r="A24" s="941"/>
      <c r="B24" s="941" t="s">
        <v>997</v>
      </c>
      <c r="C24" s="131" t="s">
        <v>486</v>
      </c>
      <c r="D24" s="131" t="s">
        <v>541</v>
      </c>
      <c r="E24" s="131" t="str">
        <f>'[2]Table 1'!$A$234</f>
        <v>2.2.8.7.06</v>
      </c>
      <c r="F24" s="133" t="s">
        <v>138</v>
      </c>
      <c r="G24" s="133">
        <v>1</v>
      </c>
      <c r="H24" s="250">
        <v>1067605</v>
      </c>
      <c r="I24" s="249" t="s">
        <v>77</v>
      </c>
      <c r="J24" s="249" t="s">
        <v>77</v>
      </c>
      <c r="K24" s="249" t="s">
        <v>77</v>
      </c>
      <c r="L24" s="249" t="s">
        <v>77</v>
      </c>
      <c r="M24" s="249" t="s">
        <v>77</v>
      </c>
      <c r="N24" s="249" t="s">
        <v>77</v>
      </c>
      <c r="O24" s="249" t="s">
        <v>77</v>
      </c>
      <c r="P24" s="249" t="s">
        <v>77</v>
      </c>
      <c r="Q24" s="249" t="s">
        <v>77</v>
      </c>
      <c r="R24" s="249" t="s">
        <v>77</v>
      </c>
      <c r="S24" s="250">
        <v>1067605</v>
      </c>
      <c r="T24" s="249" t="s">
        <v>77</v>
      </c>
      <c r="U24" s="250">
        <f t="shared" si="0"/>
        <v>1067605</v>
      </c>
      <c r="V24" s="251" t="s">
        <v>639</v>
      </c>
    </row>
    <row r="25" spans="1:22" ht="38.25" customHeight="1" x14ac:dyDescent="0.2">
      <c r="A25" s="941"/>
      <c r="B25" s="941"/>
      <c r="C25" s="131" t="s">
        <v>50</v>
      </c>
      <c r="D25" s="131" t="s">
        <v>323</v>
      </c>
      <c r="E25" s="131" t="str">
        <f>'[2]Table 1'!$A$252</f>
        <v>2.2.9.2.01</v>
      </c>
      <c r="F25" s="133" t="s">
        <v>484</v>
      </c>
      <c r="G25" s="133">
        <v>10</v>
      </c>
      <c r="H25" s="250">
        <v>1000</v>
      </c>
      <c r="I25" s="249" t="s">
        <v>77</v>
      </c>
      <c r="J25" s="249" t="s">
        <v>77</v>
      </c>
      <c r="K25" s="249" t="s">
        <v>77</v>
      </c>
      <c r="L25" s="249" t="s">
        <v>77</v>
      </c>
      <c r="M25" s="249" t="s">
        <v>77</v>
      </c>
      <c r="N25" s="249" t="s">
        <v>77</v>
      </c>
      <c r="O25" s="249" t="s">
        <v>77</v>
      </c>
      <c r="P25" s="249" t="s">
        <v>77</v>
      </c>
      <c r="Q25" s="249" t="s">
        <v>77</v>
      </c>
      <c r="R25" s="249" t="s">
        <v>77</v>
      </c>
      <c r="S25" s="250">
        <f>+H25*G25</f>
        <v>10000</v>
      </c>
      <c r="T25" s="250" t="s">
        <v>77</v>
      </c>
      <c r="U25" s="250">
        <f t="shared" si="0"/>
        <v>10000</v>
      </c>
      <c r="V25" s="251"/>
    </row>
    <row r="26" spans="1:22" ht="99" customHeight="1" x14ac:dyDescent="0.2">
      <c r="A26" s="146" t="s">
        <v>1061</v>
      </c>
      <c r="B26" s="105" t="s">
        <v>671</v>
      </c>
      <c r="C26" s="131" t="s">
        <v>543</v>
      </c>
      <c r="D26" s="131" t="s">
        <v>544</v>
      </c>
      <c r="E26" s="131" t="str">
        <f>'[2]Table 1'!$A$232</f>
        <v>2.2.8.7.04</v>
      </c>
      <c r="F26" s="133" t="s">
        <v>131</v>
      </c>
      <c r="G26" s="133">
        <v>1</v>
      </c>
      <c r="H26" s="248">
        <v>165000</v>
      </c>
      <c r="I26" s="249" t="s">
        <v>77</v>
      </c>
      <c r="J26" s="249" t="s">
        <v>77</v>
      </c>
      <c r="K26" s="249" t="s">
        <v>77</v>
      </c>
      <c r="L26" s="249" t="s">
        <v>77</v>
      </c>
      <c r="M26" s="249" t="s">
        <v>77</v>
      </c>
      <c r="N26" s="249" t="s">
        <v>77</v>
      </c>
      <c r="O26" s="249" t="s">
        <v>77</v>
      </c>
      <c r="P26" s="249" t="s">
        <v>77</v>
      </c>
      <c r="Q26" s="249" t="s">
        <v>77</v>
      </c>
      <c r="R26" s="249" t="s">
        <v>77</v>
      </c>
      <c r="S26" s="249" t="s">
        <v>77</v>
      </c>
      <c r="T26" s="248">
        <v>165000</v>
      </c>
      <c r="U26" s="250">
        <f t="shared" si="0"/>
        <v>165000</v>
      </c>
      <c r="V26" s="251" t="s">
        <v>638</v>
      </c>
    </row>
    <row r="27" spans="1:22" ht="15" x14ac:dyDescent="0.2">
      <c r="A27" s="844" t="s">
        <v>545</v>
      </c>
      <c r="B27" s="844"/>
      <c r="C27" s="844"/>
      <c r="D27" s="844"/>
      <c r="E27" s="97"/>
      <c r="F27" s="252"/>
      <c r="G27" s="252"/>
      <c r="H27" s="253"/>
      <c r="I27" s="254">
        <f t="shared" ref="I27:T27" si="1">SUM(I21:I26)</f>
        <v>0</v>
      </c>
      <c r="J27" s="254">
        <f t="shared" si="1"/>
        <v>745860</v>
      </c>
      <c r="K27" s="254">
        <f t="shared" si="1"/>
        <v>0</v>
      </c>
      <c r="L27" s="254">
        <f t="shared" si="1"/>
        <v>0</v>
      </c>
      <c r="M27" s="254">
        <f t="shared" si="1"/>
        <v>20000</v>
      </c>
      <c r="N27" s="254">
        <f t="shared" si="1"/>
        <v>0</v>
      </c>
      <c r="O27" s="254">
        <f t="shared" si="1"/>
        <v>0</v>
      </c>
      <c r="P27" s="254">
        <f t="shared" si="1"/>
        <v>0</v>
      </c>
      <c r="Q27" s="254">
        <f t="shared" si="1"/>
        <v>0</v>
      </c>
      <c r="R27" s="254">
        <f t="shared" si="1"/>
        <v>0</v>
      </c>
      <c r="S27" s="254">
        <f t="shared" si="1"/>
        <v>1077605</v>
      </c>
      <c r="T27" s="254">
        <f t="shared" si="1"/>
        <v>165000</v>
      </c>
      <c r="U27" s="254">
        <f>+SUM(U21:U25)</f>
        <v>1843465</v>
      </c>
      <c r="V27" s="255"/>
    </row>
    <row r="28" spans="1:22" ht="15" x14ac:dyDescent="0.2">
      <c r="A28" s="101"/>
      <c r="B28" s="101"/>
      <c r="C28" s="101"/>
      <c r="D28" s="101"/>
      <c r="E28" s="127"/>
      <c r="F28" s="101"/>
      <c r="G28" s="101"/>
      <c r="H28" s="128"/>
      <c r="I28" s="101"/>
      <c r="J28" s="101"/>
      <c r="K28" s="101"/>
      <c r="L28" s="101"/>
      <c r="M28" s="101"/>
      <c r="N28" s="101"/>
      <c r="O28" s="101"/>
      <c r="P28" s="101"/>
      <c r="Q28" s="101"/>
      <c r="R28" s="101"/>
      <c r="S28" s="101"/>
      <c r="T28" s="101"/>
      <c r="U28" s="101"/>
      <c r="V28" s="156"/>
    </row>
    <row r="29" spans="1:22" ht="15" x14ac:dyDescent="0.2">
      <c r="A29" s="101"/>
      <c r="B29" s="101"/>
      <c r="C29" s="101"/>
      <c r="D29" s="101"/>
      <c r="E29" s="127"/>
      <c r="F29" s="101"/>
      <c r="G29" s="101"/>
      <c r="H29" s="128"/>
      <c r="I29" s="101"/>
      <c r="J29" s="101"/>
      <c r="K29" s="101"/>
      <c r="L29" s="101"/>
      <c r="M29" s="101"/>
      <c r="N29" s="101"/>
      <c r="O29" s="101"/>
      <c r="P29" s="101"/>
      <c r="Q29" s="101"/>
      <c r="R29" s="101"/>
      <c r="S29" s="101"/>
      <c r="T29" s="101"/>
      <c r="U29" s="101"/>
      <c r="V29" s="156"/>
    </row>
    <row r="30" spans="1:22" ht="15" x14ac:dyDescent="0.2">
      <c r="A30" s="101"/>
      <c r="B30" s="101"/>
      <c r="C30" s="101"/>
      <c r="D30" s="101"/>
      <c r="E30" s="127"/>
      <c r="F30" s="101"/>
      <c r="G30" s="101"/>
      <c r="H30" s="128"/>
      <c r="I30" s="101"/>
      <c r="J30" s="101"/>
      <c r="K30" s="101"/>
      <c r="L30" s="101"/>
      <c r="M30" s="101"/>
      <c r="N30" s="101"/>
      <c r="O30" s="101"/>
      <c r="P30" s="101"/>
      <c r="Q30" s="101"/>
      <c r="R30" s="101"/>
      <c r="S30" s="128"/>
      <c r="T30" s="101"/>
      <c r="U30" s="101"/>
      <c r="V30" s="156"/>
    </row>
    <row r="31" spans="1:22" ht="19.5" x14ac:dyDescent="0.25">
      <c r="B31" s="80"/>
      <c r="C31" s="80"/>
      <c r="D31" s="80"/>
      <c r="E31" s="81"/>
      <c r="F31" s="80"/>
      <c r="G31" s="80"/>
      <c r="H31" s="82"/>
      <c r="I31" s="80"/>
      <c r="J31" s="80"/>
      <c r="K31" s="80"/>
      <c r="L31" s="80"/>
      <c r="M31" s="80"/>
      <c r="N31" s="80"/>
      <c r="O31" s="80"/>
      <c r="P31" s="80"/>
      <c r="Q31" s="80"/>
      <c r="R31" s="80"/>
      <c r="S31" s="80"/>
      <c r="T31" s="80"/>
      <c r="U31" s="80"/>
      <c r="V31" s="83"/>
    </row>
    <row r="32" spans="1:22" ht="19.5" x14ac:dyDescent="0.25">
      <c r="B32" s="80"/>
      <c r="C32" s="80"/>
      <c r="D32" s="80"/>
      <c r="E32" s="81"/>
      <c r="F32" s="80"/>
      <c r="G32" s="80"/>
      <c r="H32" s="82"/>
      <c r="I32" s="80"/>
      <c r="J32" s="80"/>
      <c r="K32" s="80"/>
      <c r="L32" s="80"/>
      <c r="M32" s="80"/>
      <c r="N32" s="80"/>
      <c r="O32" s="80"/>
      <c r="P32" s="80"/>
      <c r="Q32" s="80"/>
      <c r="R32" s="80"/>
      <c r="S32" s="80"/>
      <c r="T32" s="80"/>
      <c r="U32" s="80"/>
      <c r="V32" s="83"/>
    </row>
    <row r="33" spans="2:22" ht="19.5" x14ac:dyDescent="0.25">
      <c r="B33" s="900"/>
      <c r="C33" s="900"/>
      <c r="D33" s="126"/>
      <c r="E33" s="101"/>
      <c r="F33" s="101"/>
      <c r="G33" s="478"/>
      <c r="H33" s="478"/>
      <c r="I33" s="478"/>
      <c r="J33" s="475"/>
      <c r="K33" s="475"/>
      <c r="L33" s="101"/>
      <c r="M33" s="101"/>
      <c r="N33" s="476"/>
      <c r="O33" s="476"/>
      <c r="P33" s="931"/>
      <c r="Q33" s="931"/>
      <c r="R33" s="475"/>
      <c r="S33" s="475"/>
      <c r="T33" s="478"/>
      <c r="U33" s="80"/>
      <c r="V33" s="83"/>
    </row>
    <row r="34" spans="2:22" ht="19.5" x14ac:dyDescent="0.25">
      <c r="B34" s="901" t="s">
        <v>1052</v>
      </c>
      <c r="C34" s="901"/>
      <c r="D34" s="126"/>
      <c r="E34" s="101"/>
      <c r="F34" s="101"/>
      <c r="G34" s="901" t="s">
        <v>536</v>
      </c>
      <c r="H34" s="901"/>
      <c r="I34" s="901"/>
      <c r="J34" s="901"/>
      <c r="K34" s="901"/>
      <c r="L34" s="101"/>
      <c r="M34" s="101"/>
      <c r="N34" s="477"/>
      <c r="O34" s="101"/>
      <c r="Q34" s="477"/>
      <c r="R34" s="901" t="s">
        <v>537</v>
      </c>
      <c r="S34" s="901"/>
      <c r="T34" s="901"/>
      <c r="U34" s="80"/>
      <c r="V34" s="83"/>
    </row>
    <row r="35" spans="2:22" ht="19.5" x14ac:dyDescent="0.25">
      <c r="B35" s="931" t="s">
        <v>1053</v>
      </c>
      <c r="C35" s="931"/>
      <c r="D35" s="126"/>
      <c r="E35" s="101"/>
      <c r="F35" s="101"/>
      <c r="G35" s="931" t="s">
        <v>546</v>
      </c>
      <c r="H35" s="931"/>
      <c r="I35" s="931"/>
      <c r="J35" s="931"/>
      <c r="K35" s="931"/>
      <c r="L35" s="101"/>
      <c r="M35" s="101"/>
      <c r="N35" s="476"/>
      <c r="O35" s="101"/>
      <c r="Q35" s="476"/>
      <c r="R35" s="931" t="s">
        <v>538</v>
      </c>
      <c r="S35" s="931"/>
      <c r="T35" s="931"/>
      <c r="U35" s="80"/>
      <c r="V35" s="83"/>
    </row>
    <row r="36" spans="2:22" ht="19.5" x14ac:dyDescent="0.25">
      <c r="C36" s="5"/>
      <c r="E36" s="2"/>
      <c r="H36" s="2"/>
      <c r="U36" s="80"/>
      <c r="V36" s="83"/>
    </row>
    <row r="37" spans="2:22" ht="19.5" x14ac:dyDescent="0.25">
      <c r="C37" s="5"/>
      <c r="E37" s="2"/>
      <c r="H37" s="2"/>
      <c r="U37" s="80"/>
      <c r="V37" s="83"/>
    </row>
    <row r="38" spans="2:22" ht="19.5" x14ac:dyDescent="0.25">
      <c r="B38" s="80"/>
      <c r="C38" s="80"/>
      <c r="D38" s="80"/>
      <c r="E38" s="81"/>
      <c r="F38" s="80"/>
      <c r="G38" s="80"/>
      <c r="H38" s="82"/>
      <c r="I38" s="80"/>
      <c r="J38" s="80"/>
      <c r="K38" s="80"/>
      <c r="L38" s="80"/>
      <c r="M38" s="80"/>
      <c r="N38" s="80"/>
      <c r="O38" s="80"/>
      <c r="P38" s="80"/>
      <c r="Q38" s="80"/>
      <c r="R38" s="80"/>
      <c r="S38" s="80"/>
      <c r="T38" s="80"/>
      <c r="U38" s="80"/>
      <c r="V38" s="83"/>
    </row>
    <row r="39" spans="2:22" ht="19.5" x14ac:dyDescent="0.25">
      <c r="B39" s="80"/>
      <c r="C39" s="80"/>
      <c r="D39" s="80"/>
      <c r="E39" s="81"/>
      <c r="F39" s="80"/>
      <c r="G39" s="80"/>
      <c r="H39" s="82"/>
      <c r="I39" s="80"/>
      <c r="J39" s="80"/>
      <c r="K39" s="80"/>
      <c r="L39" s="80"/>
      <c r="M39" s="80"/>
      <c r="N39" s="80"/>
      <c r="O39" s="80"/>
      <c r="P39" s="80"/>
      <c r="Q39" s="80"/>
      <c r="R39" s="80"/>
      <c r="S39" s="80"/>
      <c r="T39" s="80"/>
      <c r="U39" s="80"/>
      <c r="V39" s="83"/>
    </row>
    <row r="40" spans="2:22" ht="19.5" x14ac:dyDescent="0.25">
      <c r="B40" s="80"/>
      <c r="C40" s="80"/>
      <c r="D40" s="80"/>
      <c r="E40" s="81"/>
      <c r="F40" s="80"/>
      <c r="G40" s="80"/>
      <c r="H40" s="82"/>
      <c r="I40" s="80"/>
      <c r="J40" s="80"/>
      <c r="K40" s="80"/>
      <c r="L40" s="80"/>
      <c r="M40" s="80"/>
      <c r="N40" s="80"/>
      <c r="O40" s="80"/>
      <c r="P40" s="80"/>
      <c r="Q40" s="80"/>
      <c r="R40" s="80"/>
      <c r="S40" s="80"/>
      <c r="T40" s="80"/>
      <c r="U40" s="80"/>
      <c r="V40" s="83"/>
    </row>
  </sheetData>
  <mergeCells count="31">
    <mergeCell ref="B35:C35"/>
    <mergeCell ref="G35:K35"/>
    <mergeCell ref="R35:T35"/>
    <mergeCell ref="A27:D27"/>
    <mergeCell ref="B33:C33"/>
    <mergeCell ref="P33:Q33"/>
    <mergeCell ref="B34:C34"/>
    <mergeCell ref="G34:K34"/>
    <mergeCell ref="R34:T34"/>
    <mergeCell ref="A21:A25"/>
    <mergeCell ref="B21:B22"/>
    <mergeCell ref="B24:B25"/>
    <mergeCell ref="F19:F20"/>
    <mergeCell ref="G19:G20"/>
    <mergeCell ref="A19:A20"/>
    <mergeCell ref="B19:B20"/>
    <mergeCell ref="C19:C20"/>
    <mergeCell ref="D19:D20"/>
    <mergeCell ref="E19:E20"/>
    <mergeCell ref="L19:N19"/>
    <mergeCell ref="O19:Q19"/>
    <mergeCell ref="A12:V12"/>
    <mergeCell ref="A13:V13"/>
    <mergeCell ref="A14:V14"/>
    <mergeCell ref="B15:V15"/>
    <mergeCell ref="B16:V16"/>
    <mergeCell ref="R19:T19"/>
    <mergeCell ref="U19:U20"/>
    <mergeCell ref="V19:V20"/>
    <mergeCell ref="H19:H20"/>
    <mergeCell ref="I19:K19"/>
  </mergeCells>
  <pageMargins left="0.23622047244094491" right="0.23622047244094491" top="0.39370078740157483" bottom="0.39370078740157483" header="0.31496062992125984" footer="0.31496062992125984"/>
  <pageSetup paperSize="5" scale="38" orientation="landscape" r:id="rId1"/>
  <headerFooter>
    <oddFooter>&amp;CPágina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6D2B0-ABA8-41D0-95A1-B373041D0532}">
  <sheetPr codeName="Sheet15">
    <pageSetUpPr fitToPage="1"/>
  </sheetPr>
  <dimension ref="A10:W45"/>
  <sheetViews>
    <sheetView topLeftCell="C1" workbookViewId="0"/>
  </sheetViews>
  <sheetFormatPr defaultColWidth="11.42578125" defaultRowHeight="15" x14ac:dyDescent="0.25"/>
  <cols>
    <col min="1" max="1" width="26.28515625" hidden="1" customWidth="1"/>
    <col min="2" max="2" width="3.85546875" hidden="1" customWidth="1"/>
    <col min="3" max="3" width="35.85546875" bestFit="1" customWidth="1"/>
    <col min="4" max="4" width="20.85546875" customWidth="1"/>
    <col min="5" max="5" width="27.140625" style="52" customWidth="1"/>
    <col min="6" max="6" width="18.7109375" customWidth="1"/>
    <col min="7" max="7" width="15.7109375" customWidth="1"/>
    <col min="8" max="8" width="42.42578125" customWidth="1"/>
    <col min="9" max="20" width="21.42578125" customWidth="1"/>
    <col min="21" max="21" width="20.28515625" customWidth="1"/>
    <col min="22" max="22" width="27.7109375" customWidth="1"/>
    <col min="23" max="23" width="27.42578125" customWidth="1"/>
    <col min="24" max="24" width="16.7109375" customWidth="1"/>
    <col min="25" max="144" width="11.42578125" customWidth="1"/>
    <col min="145" max="145" width="6.28515625" customWidth="1"/>
    <col min="146" max="146" width="10.140625" customWidth="1"/>
  </cols>
  <sheetData>
    <row r="10" spans="3:23" s="62" customFormat="1" ht="28.5" customHeight="1" x14ac:dyDescent="0.25">
      <c r="C10" s="858" t="s">
        <v>0</v>
      </c>
      <c r="D10" s="858"/>
      <c r="E10" s="858"/>
      <c r="F10" s="858"/>
      <c r="G10" s="858"/>
      <c r="H10" s="858"/>
      <c r="I10" s="858"/>
      <c r="J10" s="858"/>
      <c r="K10" s="858"/>
      <c r="L10" s="858"/>
      <c r="M10" s="858"/>
      <c r="N10" s="858"/>
      <c r="O10" s="858"/>
      <c r="P10" s="858"/>
      <c r="Q10" s="858"/>
      <c r="R10" s="858"/>
      <c r="S10" s="858"/>
      <c r="T10" s="858"/>
      <c r="U10" s="858"/>
      <c r="V10" s="858"/>
      <c r="W10" s="858"/>
    </row>
    <row r="11" spans="3:23" s="62" customFormat="1" ht="19.5" x14ac:dyDescent="0.25">
      <c r="C11" s="858" t="s">
        <v>1</v>
      </c>
      <c r="D11" s="858"/>
      <c r="E11" s="858"/>
      <c r="F11" s="858"/>
      <c r="G11" s="858"/>
      <c r="H11" s="858"/>
      <c r="I11" s="858"/>
      <c r="J11" s="858"/>
      <c r="K11" s="858"/>
      <c r="L11" s="858"/>
      <c r="M11" s="858"/>
      <c r="N11" s="858"/>
      <c r="O11" s="858"/>
      <c r="P11" s="858"/>
      <c r="Q11" s="858"/>
      <c r="R11" s="858"/>
      <c r="S11" s="858"/>
      <c r="T11" s="858"/>
      <c r="U11" s="858"/>
      <c r="V11" s="858"/>
      <c r="W11" s="858"/>
    </row>
    <row r="12" spans="3:23" ht="21" x14ac:dyDescent="0.35">
      <c r="C12" s="17"/>
      <c r="D12" s="17"/>
      <c r="E12" s="51"/>
      <c r="F12" s="17"/>
      <c r="G12" s="17"/>
      <c r="H12" s="17"/>
      <c r="I12" s="17"/>
      <c r="J12" s="17"/>
      <c r="K12" s="17"/>
      <c r="L12" s="17"/>
      <c r="M12" s="17"/>
      <c r="N12" s="17"/>
      <c r="O12" s="17"/>
      <c r="P12" s="17"/>
      <c r="Q12" s="17"/>
      <c r="R12" s="17"/>
      <c r="S12" s="17"/>
      <c r="T12" s="17"/>
      <c r="U12" s="17"/>
      <c r="V12" s="17"/>
    </row>
    <row r="13" spans="3:23" s="13" customFormat="1" x14ac:dyDescent="0.2">
      <c r="C13" s="100" t="s">
        <v>2</v>
      </c>
      <c r="D13" s="848" t="s">
        <v>401</v>
      </c>
      <c r="E13" s="848"/>
      <c r="F13" s="848"/>
      <c r="G13" s="848"/>
      <c r="H13" s="848"/>
      <c r="I13" s="848"/>
      <c r="J13" s="848"/>
      <c r="K13" s="848"/>
      <c r="L13" s="848"/>
      <c r="M13" s="848"/>
      <c r="N13" s="848"/>
      <c r="O13" s="848"/>
      <c r="P13" s="848"/>
      <c r="Q13" s="848"/>
      <c r="R13" s="848"/>
      <c r="S13" s="848"/>
      <c r="T13" s="848"/>
      <c r="U13" s="848"/>
      <c r="V13" s="848"/>
      <c r="W13" s="848"/>
    </row>
    <row r="14" spans="3:23" s="13" customFormat="1" x14ac:dyDescent="0.2">
      <c r="C14" s="100" t="s">
        <v>3</v>
      </c>
      <c r="D14" s="848" t="s">
        <v>114</v>
      </c>
      <c r="E14" s="848"/>
      <c r="F14" s="848"/>
      <c r="G14" s="848"/>
      <c r="H14" s="848"/>
      <c r="I14" s="848"/>
      <c r="J14" s="848"/>
      <c r="K14" s="848"/>
      <c r="L14" s="848"/>
      <c r="M14" s="848"/>
      <c r="N14" s="848"/>
      <c r="O14" s="848"/>
      <c r="P14" s="848"/>
      <c r="Q14" s="848"/>
      <c r="R14" s="848"/>
      <c r="S14" s="848"/>
      <c r="T14" s="848"/>
      <c r="U14" s="848"/>
      <c r="V14" s="848"/>
      <c r="W14" s="848"/>
    </row>
    <row r="15" spans="3:23" s="13" customFormat="1" x14ac:dyDescent="0.2">
      <c r="C15" s="100" t="s">
        <v>5</v>
      </c>
      <c r="D15" s="848" t="s">
        <v>189</v>
      </c>
      <c r="E15" s="848"/>
      <c r="F15" s="848"/>
      <c r="G15" s="848"/>
      <c r="H15" s="848"/>
      <c r="I15" s="848"/>
      <c r="J15" s="848"/>
      <c r="K15" s="848"/>
      <c r="L15" s="848"/>
      <c r="M15" s="848"/>
      <c r="N15" s="848"/>
      <c r="O15" s="848"/>
      <c r="P15" s="848"/>
      <c r="Q15" s="848"/>
      <c r="R15" s="848"/>
      <c r="S15" s="848"/>
      <c r="T15" s="848"/>
      <c r="U15" s="848"/>
      <c r="V15" s="848"/>
      <c r="W15" s="848"/>
    </row>
    <row r="16" spans="3:23" s="13" customFormat="1" x14ac:dyDescent="0.2">
      <c r="C16" s="100" t="s">
        <v>402</v>
      </c>
      <c r="D16" s="848" t="s">
        <v>403</v>
      </c>
      <c r="E16" s="848"/>
      <c r="F16" s="848"/>
      <c r="G16" s="848"/>
      <c r="H16" s="848"/>
      <c r="I16" s="848"/>
      <c r="J16" s="848"/>
      <c r="K16" s="848"/>
      <c r="L16" s="848"/>
      <c r="M16" s="848"/>
      <c r="N16" s="848"/>
      <c r="O16" s="848"/>
      <c r="P16" s="848"/>
      <c r="Q16" s="848"/>
      <c r="R16" s="848"/>
      <c r="S16" s="848"/>
      <c r="T16" s="848"/>
      <c r="U16" s="848"/>
      <c r="V16" s="848"/>
      <c r="W16" s="848"/>
    </row>
    <row r="17" spans="1:23" s="13" customFormat="1" ht="15.75" thickBot="1" x14ac:dyDescent="0.25">
      <c r="C17" s="101"/>
      <c r="D17" s="101"/>
      <c r="E17" s="126"/>
      <c r="F17" s="101"/>
      <c r="G17" s="101"/>
      <c r="H17" s="101"/>
      <c r="I17" s="101"/>
      <c r="J17" s="101"/>
      <c r="K17" s="101"/>
      <c r="L17" s="101"/>
      <c r="M17" s="101"/>
      <c r="N17" s="101"/>
      <c r="O17" s="101"/>
      <c r="P17" s="101"/>
      <c r="Q17" s="101"/>
      <c r="R17" s="101"/>
      <c r="S17" s="101"/>
      <c r="T17" s="101"/>
      <c r="U17" s="101"/>
      <c r="V17" s="101"/>
      <c r="W17" s="101"/>
    </row>
    <row r="18" spans="1:23" s="13" customFormat="1" ht="23.25" customHeight="1" thickBot="1" x14ac:dyDescent="0.25">
      <c r="A18" s="70"/>
      <c r="B18" s="71"/>
      <c r="C18" s="845" t="s">
        <v>6</v>
      </c>
      <c r="D18" s="845" t="s">
        <v>7</v>
      </c>
      <c r="E18" s="845" t="s">
        <v>8</v>
      </c>
      <c r="F18" s="846" t="s">
        <v>9</v>
      </c>
      <c r="G18" s="846"/>
      <c r="H18" s="845" t="s">
        <v>10</v>
      </c>
      <c r="I18" s="847" t="s">
        <v>11</v>
      </c>
      <c r="J18" s="847"/>
      <c r="K18" s="847"/>
      <c r="L18" s="847" t="s">
        <v>12</v>
      </c>
      <c r="M18" s="847"/>
      <c r="N18" s="847"/>
      <c r="O18" s="847" t="s">
        <v>13</v>
      </c>
      <c r="P18" s="847"/>
      <c r="Q18" s="847"/>
      <c r="R18" s="847" t="s">
        <v>14</v>
      </c>
      <c r="S18" s="847"/>
      <c r="T18" s="847"/>
      <c r="U18" s="845" t="s">
        <v>15</v>
      </c>
      <c r="V18" s="845" t="s">
        <v>16</v>
      </c>
      <c r="W18" s="845" t="s">
        <v>49</v>
      </c>
    </row>
    <row r="19" spans="1:23" s="74" customFormat="1" ht="39.75" customHeight="1" thickBot="1" x14ac:dyDescent="0.3">
      <c r="A19" s="72" t="s">
        <v>404</v>
      </c>
      <c r="B19" s="73" t="s">
        <v>405</v>
      </c>
      <c r="C19" s="845"/>
      <c r="D19" s="845"/>
      <c r="E19" s="845"/>
      <c r="F19" s="96" t="s">
        <v>17</v>
      </c>
      <c r="G19" s="96" t="s">
        <v>18</v>
      </c>
      <c r="H19" s="845"/>
      <c r="I19" s="96" t="s">
        <v>19</v>
      </c>
      <c r="J19" s="96" t="s">
        <v>20</v>
      </c>
      <c r="K19" s="96" t="s">
        <v>21</v>
      </c>
      <c r="L19" s="96" t="s">
        <v>22</v>
      </c>
      <c r="M19" s="96" t="s">
        <v>23</v>
      </c>
      <c r="N19" s="96" t="s">
        <v>24</v>
      </c>
      <c r="O19" s="96" t="s">
        <v>25</v>
      </c>
      <c r="P19" s="96" t="s">
        <v>26</v>
      </c>
      <c r="Q19" s="96" t="s">
        <v>27</v>
      </c>
      <c r="R19" s="96" t="s">
        <v>28</v>
      </c>
      <c r="S19" s="96" t="s">
        <v>29</v>
      </c>
      <c r="T19" s="96" t="s">
        <v>30</v>
      </c>
      <c r="U19" s="845"/>
      <c r="V19" s="845"/>
      <c r="W19" s="845"/>
    </row>
    <row r="20" spans="1:23" s="13" customFormat="1" ht="90" x14ac:dyDescent="0.2">
      <c r="C20" s="941" t="s">
        <v>1101</v>
      </c>
      <c r="D20" s="146" t="s">
        <v>406</v>
      </c>
      <c r="E20" s="146" t="s">
        <v>407</v>
      </c>
      <c r="F20" s="133" t="s">
        <v>31</v>
      </c>
      <c r="G20" s="157">
        <v>1</v>
      </c>
      <c r="H20" s="146" t="s">
        <v>1108</v>
      </c>
      <c r="I20" s="157"/>
      <c r="J20" s="157"/>
      <c r="K20" s="157">
        <v>1</v>
      </c>
      <c r="L20" s="157"/>
      <c r="M20" s="157"/>
      <c r="N20" s="157">
        <v>1</v>
      </c>
      <c r="O20" s="157"/>
      <c r="P20" s="157"/>
      <c r="Q20" s="157">
        <v>1</v>
      </c>
      <c r="R20" s="157"/>
      <c r="S20" s="157"/>
      <c r="T20" s="157">
        <v>1</v>
      </c>
      <c r="U20" s="970">
        <f>SUM('Presupuesto Comunicaciones '!U24:U41)</f>
        <v>399300</v>
      </c>
      <c r="V20" s="146" t="s">
        <v>1079</v>
      </c>
      <c r="W20" s="204"/>
    </row>
    <row r="21" spans="1:23" s="13" customFormat="1" ht="120" x14ac:dyDescent="0.2">
      <c r="C21" s="941"/>
      <c r="D21" s="132" t="s">
        <v>408</v>
      </c>
      <c r="E21" s="146" t="s">
        <v>409</v>
      </c>
      <c r="F21" s="133" t="s">
        <v>31</v>
      </c>
      <c r="G21" s="157">
        <v>1</v>
      </c>
      <c r="H21" s="146" t="s">
        <v>1109</v>
      </c>
      <c r="I21" s="157"/>
      <c r="J21" s="157"/>
      <c r="K21" s="157">
        <v>1</v>
      </c>
      <c r="L21" s="157"/>
      <c r="M21" s="157"/>
      <c r="N21" s="157">
        <v>1</v>
      </c>
      <c r="O21" s="157"/>
      <c r="P21" s="157"/>
      <c r="Q21" s="157">
        <v>1</v>
      </c>
      <c r="R21" s="157"/>
      <c r="S21" s="157"/>
      <c r="T21" s="157">
        <v>1</v>
      </c>
      <c r="U21" s="970"/>
      <c r="V21" s="146" t="s">
        <v>1080</v>
      </c>
      <c r="W21" s="204"/>
    </row>
    <row r="22" spans="1:23" s="13" customFormat="1" ht="56.25" customHeight="1" x14ac:dyDescent="0.2">
      <c r="C22" s="941"/>
      <c r="D22" s="132" t="s">
        <v>1117</v>
      </c>
      <c r="E22" s="146" t="s">
        <v>1118</v>
      </c>
      <c r="F22" s="133" t="s">
        <v>18</v>
      </c>
      <c r="G22" s="133">
        <v>1</v>
      </c>
      <c r="H22" s="146" t="s">
        <v>1120</v>
      </c>
      <c r="I22" s="157"/>
      <c r="J22" s="157"/>
      <c r="K22" s="157"/>
      <c r="L22" s="157"/>
      <c r="M22" s="157"/>
      <c r="N22" s="133">
        <v>1</v>
      </c>
      <c r="O22" s="157"/>
      <c r="P22" s="157"/>
      <c r="Q22" s="157"/>
      <c r="R22" s="157"/>
      <c r="S22" s="157"/>
      <c r="T22" s="157"/>
      <c r="U22" s="970"/>
      <c r="V22" s="146" t="s">
        <v>1119</v>
      </c>
      <c r="W22" s="204"/>
    </row>
    <row r="23" spans="1:23" s="13" customFormat="1" ht="81" customHeight="1" x14ac:dyDescent="0.2">
      <c r="C23" s="941"/>
      <c r="D23" s="132" t="s">
        <v>410</v>
      </c>
      <c r="E23" s="146" t="s">
        <v>411</v>
      </c>
      <c r="F23" s="133" t="s">
        <v>18</v>
      </c>
      <c r="G23" s="133">
        <v>1</v>
      </c>
      <c r="H23" s="146" t="s">
        <v>1121</v>
      </c>
      <c r="I23" s="133"/>
      <c r="J23" s="133"/>
      <c r="K23" s="133"/>
      <c r="L23" s="133"/>
      <c r="M23" s="133"/>
      <c r="N23" s="133">
        <v>1</v>
      </c>
      <c r="O23" s="133"/>
      <c r="P23" s="133"/>
      <c r="Q23" s="133"/>
      <c r="R23" s="133"/>
      <c r="S23" s="133"/>
      <c r="T23" s="133"/>
      <c r="U23" s="970"/>
      <c r="V23" s="146" t="s">
        <v>1081</v>
      </c>
      <c r="W23" s="204"/>
    </row>
    <row r="24" spans="1:23" s="13" customFormat="1" ht="60" x14ac:dyDescent="0.2">
      <c r="C24" s="941"/>
      <c r="D24" s="132" t="s">
        <v>412</v>
      </c>
      <c r="E24" s="146" t="s">
        <v>413</v>
      </c>
      <c r="F24" s="133" t="s">
        <v>18</v>
      </c>
      <c r="G24" s="133">
        <v>8</v>
      </c>
      <c r="H24" s="146" t="s">
        <v>1122</v>
      </c>
      <c r="I24" s="133"/>
      <c r="J24" s="133"/>
      <c r="K24" s="133">
        <v>2</v>
      </c>
      <c r="L24" s="133"/>
      <c r="M24" s="133"/>
      <c r="N24" s="133">
        <v>2</v>
      </c>
      <c r="O24" s="133"/>
      <c r="P24" s="133"/>
      <c r="Q24" s="133">
        <v>2</v>
      </c>
      <c r="R24" s="133"/>
      <c r="S24" s="133"/>
      <c r="T24" s="133">
        <v>2</v>
      </c>
      <c r="U24" s="970"/>
      <c r="V24" s="146" t="s">
        <v>1082</v>
      </c>
      <c r="W24" s="204"/>
    </row>
    <row r="25" spans="1:23" s="13" customFormat="1" ht="75" x14ac:dyDescent="0.2">
      <c r="C25" s="941"/>
      <c r="D25" s="132" t="s">
        <v>414</v>
      </c>
      <c r="E25" s="146" t="s">
        <v>415</v>
      </c>
      <c r="F25" s="133" t="s">
        <v>31</v>
      </c>
      <c r="G25" s="157">
        <v>1</v>
      </c>
      <c r="H25" s="146" t="s">
        <v>1123</v>
      </c>
      <c r="I25" s="133"/>
      <c r="J25" s="133"/>
      <c r="K25" s="157">
        <v>1</v>
      </c>
      <c r="L25" s="133"/>
      <c r="M25" s="133"/>
      <c r="N25" s="157">
        <v>1</v>
      </c>
      <c r="O25" s="133"/>
      <c r="P25" s="133"/>
      <c r="Q25" s="157">
        <v>1</v>
      </c>
      <c r="R25" s="133"/>
      <c r="S25" s="133"/>
      <c r="T25" s="157">
        <v>1</v>
      </c>
      <c r="U25" s="970"/>
      <c r="V25" s="146" t="s">
        <v>1083</v>
      </c>
      <c r="W25" s="204"/>
    </row>
    <row r="26" spans="1:23" s="13" customFormat="1" ht="60" x14ac:dyDescent="0.2">
      <c r="C26" s="941"/>
      <c r="D26" s="146" t="s">
        <v>416</v>
      </c>
      <c r="E26" s="146" t="s">
        <v>417</v>
      </c>
      <c r="F26" s="133" t="s">
        <v>31</v>
      </c>
      <c r="G26" s="157">
        <v>1</v>
      </c>
      <c r="H26" s="146" t="s">
        <v>1124</v>
      </c>
      <c r="I26" s="157">
        <v>1</v>
      </c>
      <c r="J26" s="157">
        <v>1</v>
      </c>
      <c r="K26" s="157">
        <v>1</v>
      </c>
      <c r="L26" s="157">
        <v>1</v>
      </c>
      <c r="M26" s="157">
        <v>1</v>
      </c>
      <c r="N26" s="157">
        <v>1</v>
      </c>
      <c r="O26" s="157">
        <v>1</v>
      </c>
      <c r="P26" s="157">
        <v>1</v>
      </c>
      <c r="Q26" s="157">
        <v>1</v>
      </c>
      <c r="R26" s="157">
        <v>1</v>
      </c>
      <c r="S26" s="157">
        <v>1</v>
      </c>
      <c r="T26" s="157">
        <v>1</v>
      </c>
      <c r="U26" s="970"/>
      <c r="V26" s="146" t="s">
        <v>1083</v>
      </c>
      <c r="W26" s="204"/>
    </row>
    <row r="27" spans="1:23" s="13" customFormat="1" ht="180" x14ac:dyDescent="0.2">
      <c r="C27" s="941"/>
      <c r="D27" s="146" t="s">
        <v>418</v>
      </c>
      <c r="E27" s="146" t="s">
        <v>419</v>
      </c>
      <c r="F27" s="133" t="s">
        <v>31</v>
      </c>
      <c r="G27" s="157">
        <v>1</v>
      </c>
      <c r="H27" s="146" t="s">
        <v>1125</v>
      </c>
      <c r="I27" s="133"/>
      <c r="J27" s="133"/>
      <c r="K27" s="157">
        <v>1</v>
      </c>
      <c r="L27" s="133"/>
      <c r="M27" s="133"/>
      <c r="N27" s="157">
        <v>1</v>
      </c>
      <c r="O27" s="133"/>
      <c r="P27" s="133"/>
      <c r="Q27" s="157">
        <v>1</v>
      </c>
      <c r="R27" s="133"/>
      <c r="S27" s="133"/>
      <c r="T27" s="157">
        <v>1</v>
      </c>
      <c r="U27" s="970"/>
      <c r="V27" s="146" t="s">
        <v>1084</v>
      </c>
      <c r="W27" s="204"/>
    </row>
    <row r="28" spans="1:23" s="13" customFormat="1" ht="120" x14ac:dyDescent="0.2">
      <c r="C28" s="941"/>
      <c r="D28" s="146" t="s">
        <v>420</v>
      </c>
      <c r="E28" s="146" t="s">
        <v>421</v>
      </c>
      <c r="F28" s="133" t="s">
        <v>18</v>
      </c>
      <c r="G28" s="133">
        <v>4</v>
      </c>
      <c r="H28" s="146" t="s">
        <v>1126</v>
      </c>
      <c r="I28" s="133"/>
      <c r="J28" s="133"/>
      <c r="K28" s="133">
        <v>1</v>
      </c>
      <c r="L28" s="157"/>
      <c r="M28" s="133"/>
      <c r="N28" s="133">
        <v>1</v>
      </c>
      <c r="O28" s="133"/>
      <c r="P28" s="157"/>
      <c r="Q28" s="133">
        <v>1</v>
      </c>
      <c r="R28" s="133"/>
      <c r="S28" s="133">
        <v>1</v>
      </c>
      <c r="T28" s="157"/>
      <c r="U28" s="970"/>
      <c r="V28" s="146" t="s">
        <v>1085</v>
      </c>
      <c r="W28" s="204"/>
    </row>
    <row r="29" spans="1:23" s="13" customFormat="1" ht="75" x14ac:dyDescent="0.2">
      <c r="C29" s="971" t="s">
        <v>1102</v>
      </c>
      <c r="D29" s="224" t="s">
        <v>422</v>
      </c>
      <c r="E29" s="224" t="s">
        <v>423</v>
      </c>
      <c r="F29" s="203" t="s">
        <v>18</v>
      </c>
      <c r="G29" s="203">
        <v>12</v>
      </c>
      <c r="H29" s="224" t="s">
        <v>1110</v>
      </c>
      <c r="I29" s="203">
        <v>1</v>
      </c>
      <c r="J29" s="203">
        <v>1</v>
      </c>
      <c r="K29" s="203">
        <v>1</v>
      </c>
      <c r="L29" s="203">
        <v>1</v>
      </c>
      <c r="M29" s="203">
        <v>1</v>
      </c>
      <c r="N29" s="203">
        <v>1</v>
      </c>
      <c r="O29" s="203">
        <v>1</v>
      </c>
      <c r="P29" s="203">
        <v>1</v>
      </c>
      <c r="Q29" s="203">
        <v>1</v>
      </c>
      <c r="R29" s="203">
        <v>1</v>
      </c>
      <c r="S29" s="203">
        <v>1</v>
      </c>
      <c r="T29" s="203">
        <v>1</v>
      </c>
      <c r="U29" s="972">
        <f>SUM('Presupuesto Comunicaciones '!U42:U57)</f>
        <v>57450</v>
      </c>
      <c r="V29" s="224" t="s">
        <v>1083</v>
      </c>
      <c r="W29" s="264"/>
    </row>
    <row r="30" spans="1:23" s="13" customFormat="1" ht="195" x14ac:dyDescent="0.2">
      <c r="C30" s="971"/>
      <c r="D30" s="224" t="s">
        <v>424</v>
      </c>
      <c r="E30" s="224" t="s">
        <v>425</v>
      </c>
      <c r="F30" s="203" t="s">
        <v>18</v>
      </c>
      <c r="G30" s="203">
        <v>4</v>
      </c>
      <c r="H30" s="159" t="s">
        <v>1111</v>
      </c>
      <c r="I30" s="203"/>
      <c r="J30" s="203"/>
      <c r="K30" s="203">
        <v>1</v>
      </c>
      <c r="L30" s="203"/>
      <c r="M30" s="203"/>
      <c r="N30" s="203">
        <v>1</v>
      </c>
      <c r="O30" s="203"/>
      <c r="P30" s="203"/>
      <c r="Q30" s="203">
        <v>1</v>
      </c>
      <c r="R30" s="203"/>
      <c r="S30" s="203"/>
      <c r="T30" s="203">
        <v>1</v>
      </c>
      <c r="U30" s="972"/>
      <c r="V30" s="224" t="s">
        <v>1083</v>
      </c>
      <c r="W30" s="264"/>
    </row>
    <row r="31" spans="1:23" s="13" customFormat="1" ht="60" x14ac:dyDescent="0.2">
      <c r="C31" s="971"/>
      <c r="D31" s="564" t="s">
        <v>426</v>
      </c>
      <c r="E31" s="224" t="s">
        <v>427</v>
      </c>
      <c r="F31" s="203" t="s">
        <v>31</v>
      </c>
      <c r="G31" s="565">
        <v>1</v>
      </c>
      <c r="H31" s="224" t="s">
        <v>1112</v>
      </c>
      <c r="I31" s="203"/>
      <c r="J31" s="203"/>
      <c r="K31" s="565">
        <v>1</v>
      </c>
      <c r="L31" s="203"/>
      <c r="M31" s="203"/>
      <c r="N31" s="565">
        <v>1</v>
      </c>
      <c r="O31" s="203"/>
      <c r="P31" s="203"/>
      <c r="Q31" s="565">
        <v>1</v>
      </c>
      <c r="R31" s="203"/>
      <c r="S31" s="203"/>
      <c r="T31" s="565">
        <v>1</v>
      </c>
      <c r="U31" s="972"/>
      <c r="V31" s="224" t="s">
        <v>1083</v>
      </c>
      <c r="W31" s="264"/>
    </row>
    <row r="32" spans="1:23" s="13" customFormat="1" ht="60" x14ac:dyDescent="0.2">
      <c r="C32" s="132" t="s">
        <v>1103</v>
      </c>
      <c r="D32" s="146" t="s">
        <v>428</v>
      </c>
      <c r="E32" s="146" t="s">
        <v>429</v>
      </c>
      <c r="F32" s="133" t="s">
        <v>31</v>
      </c>
      <c r="G32" s="157">
        <v>1</v>
      </c>
      <c r="H32" s="146" t="s">
        <v>1113</v>
      </c>
      <c r="I32" s="133"/>
      <c r="J32" s="133"/>
      <c r="K32" s="157">
        <v>1</v>
      </c>
      <c r="L32" s="133"/>
      <c r="M32" s="133"/>
      <c r="N32" s="157">
        <v>1</v>
      </c>
      <c r="O32" s="133"/>
      <c r="P32" s="133"/>
      <c r="Q32" s="157">
        <v>1</v>
      </c>
      <c r="R32" s="133"/>
      <c r="S32" s="133"/>
      <c r="T32" s="157">
        <v>1</v>
      </c>
      <c r="U32" s="566">
        <f>SUM('Presupuesto Comunicaciones '!U58:U74)</f>
        <v>249100</v>
      </c>
      <c r="V32" s="146" t="s">
        <v>1086</v>
      </c>
      <c r="W32" s="204"/>
    </row>
    <row r="33" spans="3:23" s="13" customFormat="1" ht="120" x14ac:dyDescent="0.2">
      <c r="C33" s="224" t="s">
        <v>1104</v>
      </c>
      <c r="D33" s="224" t="s">
        <v>917</v>
      </c>
      <c r="E33" s="224" t="s">
        <v>918</v>
      </c>
      <c r="F33" s="203" t="s">
        <v>18</v>
      </c>
      <c r="G33" s="203">
        <v>1</v>
      </c>
      <c r="H33" s="224" t="s">
        <v>1114</v>
      </c>
      <c r="I33" s="264"/>
      <c r="J33" s="264"/>
      <c r="K33" s="264"/>
      <c r="L33" s="264"/>
      <c r="M33" s="264"/>
      <c r="N33" s="264"/>
      <c r="O33" s="264"/>
      <c r="P33" s="203">
        <v>1</v>
      </c>
      <c r="Q33" s="264"/>
      <c r="R33" s="264"/>
      <c r="S33" s="264"/>
      <c r="T33" s="264"/>
      <c r="U33" s="567">
        <f>SUM('Presupuesto Comunicaciones '!U75)</f>
        <v>10000</v>
      </c>
      <c r="V33" s="224" t="s">
        <v>1083</v>
      </c>
      <c r="W33" s="264"/>
    </row>
    <row r="34" spans="3:23" s="13" customFormat="1" ht="174.75" customHeight="1" x14ac:dyDescent="0.2">
      <c r="C34" s="132" t="s">
        <v>1105</v>
      </c>
      <c r="D34" s="132" t="s">
        <v>430</v>
      </c>
      <c r="E34" s="132" t="s">
        <v>919</v>
      </c>
      <c r="F34" s="133" t="s">
        <v>315</v>
      </c>
      <c r="G34" s="157">
        <v>1</v>
      </c>
      <c r="H34" s="132" t="s">
        <v>1115</v>
      </c>
      <c r="I34" s="133"/>
      <c r="J34" s="133"/>
      <c r="K34" s="157">
        <v>1</v>
      </c>
      <c r="L34" s="133"/>
      <c r="M34" s="133"/>
      <c r="N34" s="157">
        <v>1</v>
      </c>
      <c r="O34" s="133"/>
      <c r="P34" s="133"/>
      <c r="Q34" s="157">
        <v>1</v>
      </c>
      <c r="R34" s="133"/>
      <c r="S34" s="133"/>
      <c r="T34" s="157">
        <v>1</v>
      </c>
      <c r="U34" s="133" t="s">
        <v>77</v>
      </c>
      <c r="V34" s="132" t="s">
        <v>1087</v>
      </c>
      <c r="W34" s="204"/>
    </row>
    <row r="35" spans="3:23" s="13" customFormat="1" ht="105.75" customHeight="1" x14ac:dyDescent="0.2">
      <c r="C35" s="159" t="s">
        <v>1106</v>
      </c>
      <c r="D35" s="159" t="s">
        <v>1076</v>
      </c>
      <c r="E35" s="159" t="s">
        <v>1077</v>
      </c>
      <c r="F35" s="203" t="s">
        <v>18</v>
      </c>
      <c r="G35" s="203">
        <v>1</v>
      </c>
      <c r="H35" s="159" t="s">
        <v>1116</v>
      </c>
      <c r="I35" s="203"/>
      <c r="J35" s="203"/>
      <c r="K35" s="565"/>
      <c r="L35" s="203">
        <v>1</v>
      </c>
      <c r="M35" s="203"/>
      <c r="N35" s="565"/>
      <c r="O35" s="203"/>
      <c r="P35" s="203"/>
      <c r="Q35" s="565"/>
      <c r="R35" s="203"/>
      <c r="S35" s="203"/>
      <c r="T35" s="565"/>
      <c r="U35" s="203"/>
      <c r="V35" s="159" t="s">
        <v>1088</v>
      </c>
      <c r="W35" s="264"/>
    </row>
    <row r="36" spans="3:23" x14ac:dyDescent="0.25">
      <c r="C36" s="96"/>
      <c r="D36" s="96"/>
      <c r="E36" s="96"/>
      <c r="F36" s="96"/>
      <c r="G36" s="96"/>
      <c r="H36" s="96"/>
      <c r="I36" s="96"/>
      <c r="J36" s="96"/>
      <c r="K36" s="96"/>
      <c r="L36" s="96"/>
      <c r="M36" s="96"/>
      <c r="N36" s="96"/>
      <c r="O36" s="96"/>
      <c r="P36" s="96"/>
      <c r="Q36" s="96"/>
      <c r="R36" s="96"/>
      <c r="S36" s="96"/>
      <c r="T36" s="96"/>
      <c r="U36" s="568">
        <f>SUM(U20:U35)</f>
        <v>715850</v>
      </c>
      <c r="V36" s="96"/>
      <c r="W36" s="96"/>
    </row>
    <row r="37" spans="3:23" ht="15.75" x14ac:dyDescent="0.25">
      <c r="C37" s="101"/>
      <c r="D37" s="101"/>
      <c r="E37" s="126"/>
      <c r="F37" s="101"/>
      <c r="G37" s="101"/>
      <c r="H37" s="101"/>
      <c r="I37" s="101"/>
      <c r="J37" s="101"/>
      <c r="K37" s="101"/>
      <c r="L37" s="101"/>
      <c r="M37" s="101"/>
      <c r="N37" s="101"/>
      <c r="O37" s="101"/>
      <c r="P37" s="101"/>
      <c r="Q37" s="101"/>
      <c r="R37" s="101"/>
      <c r="S37" s="101"/>
      <c r="T37" s="101"/>
      <c r="U37" s="125"/>
      <c r="V37" s="101"/>
      <c r="W37" s="101"/>
    </row>
    <row r="38" spans="3:23" ht="15.75" x14ac:dyDescent="0.25">
      <c r="C38" s="101"/>
      <c r="D38" s="101"/>
      <c r="E38" s="126"/>
      <c r="F38" s="101"/>
      <c r="G38" s="101"/>
      <c r="H38" s="101"/>
      <c r="I38" s="101"/>
      <c r="J38" s="101"/>
      <c r="K38" s="101"/>
      <c r="L38" s="101"/>
      <c r="M38" s="101"/>
      <c r="N38" s="101"/>
      <c r="O38" s="101"/>
      <c r="P38" s="101"/>
      <c r="Q38" s="101"/>
      <c r="R38" s="101"/>
      <c r="S38" s="101"/>
      <c r="T38" s="101"/>
      <c r="U38" s="125"/>
      <c r="V38" s="101"/>
      <c r="W38" s="101"/>
    </row>
    <row r="39" spans="3:23" ht="15.75" x14ac:dyDescent="0.25">
      <c r="C39" s="101"/>
      <c r="D39" s="101"/>
      <c r="E39" s="126"/>
      <c r="F39" s="101"/>
      <c r="G39" s="101"/>
      <c r="H39" s="101"/>
      <c r="I39" s="101"/>
      <c r="J39" s="101"/>
      <c r="K39" s="101"/>
      <c r="L39" s="101"/>
      <c r="M39" s="101"/>
      <c r="N39" s="101"/>
      <c r="O39" s="101"/>
      <c r="P39" s="101"/>
      <c r="Q39" s="101"/>
      <c r="R39" s="101"/>
      <c r="S39" s="101"/>
      <c r="T39" s="101"/>
      <c r="U39" s="569"/>
      <c r="V39" s="101"/>
      <c r="W39" s="101"/>
    </row>
    <row r="40" spans="3:23" ht="15.75" x14ac:dyDescent="0.25">
      <c r="C40" s="101"/>
      <c r="D40" s="101"/>
      <c r="E40" s="126"/>
      <c r="F40" s="101"/>
      <c r="G40" s="101"/>
      <c r="H40" s="101"/>
      <c r="I40" s="101"/>
      <c r="J40" s="101"/>
      <c r="K40" s="101"/>
      <c r="L40" s="101"/>
      <c r="M40" s="101"/>
      <c r="N40" s="101"/>
      <c r="O40" s="101"/>
      <c r="P40" s="101"/>
      <c r="Q40" s="101"/>
      <c r="R40" s="101"/>
      <c r="S40" s="101"/>
      <c r="T40" s="101"/>
      <c r="U40" s="101"/>
      <c r="V40" s="101"/>
      <c r="W40" s="101"/>
    </row>
    <row r="41" spans="3:23" ht="15.75" x14ac:dyDescent="0.25">
      <c r="C41" s="101"/>
      <c r="D41" s="101"/>
      <c r="E41" s="126"/>
      <c r="F41" s="101"/>
      <c r="G41" s="101"/>
      <c r="H41" s="101"/>
      <c r="I41" s="101"/>
      <c r="J41" s="101"/>
      <c r="K41" s="101"/>
      <c r="L41" s="101"/>
      <c r="M41" s="101"/>
      <c r="N41" s="101"/>
      <c r="O41" s="101"/>
      <c r="P41" s="101"/>
      <c r="Q41" s="101"/>
      <c r="R41" s="101"/>
      <c r="S41" s="101"/>
      <c r="T41" s="101"/>
      <c r="U41" s="101"/>
      <c r="V41" s="101"/>
      <c r="W41" s="101"/>
    </row>
    <row r="42" spans="3:23" ht="15.75" x14ac:dyDescent="0.25">
      <c r="C42" s="101"/>
      <c r="D42" s="853"/>
      <c r="E42" s="853"/>
      <c r="F42" s="535"/>
      <c r="G42" s="101"/>
      <c r="H42" s="101"/>
      <c r="I42" s="101"/>
      <c r="J42" s="101"/>
      <c r="K42" s="853"/>
      <c r="L42" s="853"/>
      <c r="M42" s="853"/>
      <c r="Q42" s="101"/>
      <c r="R42" s="101"/>
      <c r="S42" s="53"/>
      <c r="T42" s="53"/>
      <c r="U42" s="53"/>
      <c r="V42" s="101"/>
      <c r="W42" s="101"/>
    </row>
    <row r="43" spans="3:23" ht="15.75" x14ac:dyDescent="0.25">
      <c r="C43" s="101"/>
      <c r="D43" s="932" t="s">
        <v>1054</v>
      </c>
      <c r="E43" s="932"/>
      <c r="F43" s="53"/>
      <c r="G43" s="53"/>
      <c r="J43" s="477"/>
      <c r="K43" s="932" t="s">
        <v>536</v>
      </c>
      <c r="L43" s="932"/>
      <c r="M43" s="932"/>
      <c r="Q43" s="101"/>
      <c r="R43" s="101"/>
      <c r="S43" s="901" t="s">
        <v>537</v>
      </c>
      <c r="T43" s="901"/>
      <c r="U43" s="901"/>
      <c r="V43" s="101"/>
      <c r="W43" s="101"/>
    </row>
    <row r="44" spans="3:23" ht="15.75" x14ac:dyDescent="0.25">
      <c r="C44" s="101"/>
      <c r="D44" s="931" t="s">
        <v>1055</v>
      </c>
      <c r="E44" s="931"/>
      <c r="F44" s="53"/>
      <c r="G44" s="53"/>
      <c r="I44" s="476"/>
      <c r="J44" s="476"/>
      <c r="K44" s="931" t="s">
        <v>546</v>
      </c>
      <c r="L44" s="931"/>
      <c r="M44" s="931"/>
      <c r="Q44" s="101"/>
      <c r="R44" s="101"/>
      <c r="S44" s="931" t="s">
        <v>538</v>
      </c>
      <c r="T44" s="931"/>
      <c r="U44" s="931"/>
      <c r="V44" s="101"/>
      <c r="W44" s="101"/>
    </row>
    <row r="45" spans="3:23" x14ac:dyDescent="0.25">
      <c r="D45" s="53"/>
      <c r="E45" s="55"/>
      <c r="F45" s="53"/>
      <c r="G45" s="53"/>
      <c r="H45" s="53"/>
      <c r="I45" s="53"/>
      <c r="J45" s="57"/>
      <c r="K45" s="53"/>
      <c r="L45" s="53"/>
      <c r="M45" s="53"/>
      <c r="N45" s="53"/>
      <c r="O45" s="53"/>
      <c r="P45" s="53"/>
    </row>
  </sheetData>
  <mergeCells count="30">
    <mergeCell ref="W18:W19"/>
    <mergeCell ref="I18:K18"/>
    <mergeCell ref="D44:E44"/>
    <mergeCell ref="S44:U44"/>
    <mergeCell ref="K44:M44"/>
    <mergeCell ref="D43:E43"/>
    <mergeCell ref="S43:U43"/>
    <mergeCell ref="K43:M43"/>
    <mergeCell ref="C20:C28"/>
    <mergeCell ref="U20:U28"/>
    <mergeCell ref="C29:C31"/>
    <mergeCell ref="U29:U31"/>
    <mergeCell ref="D42:E42"/>
    <mergeCell ref="K42:M42"/>
    <mergeCell ref="C10:W10"/>
    <mergeCell ref="C11:W11"/>
    <mergeCell ref="D13:W13"/>
    <mergeCell ref="D14:W14"/>
    <mergeCell ref="C18:C19"/>
    <mergeCell ref="D18:D19"/>
    <mergeCell ref="E18:E19"/>
    <mergeCell ref="F18:G18"/>
    <mergeCell ref="H18:H19"/>
    <mergeCell ref="D15:W15"/>
    <mergeCell ref="D16:W16"/>
    <mergeCell ref="L18:N18"/>
    <mergeCell ref="O18:Q18"/>
    <mergeCell ref="R18:T18"/>
    <mergeCell ref="U18:U19"/>
    <mergeCell ref="V18:V19"/>
  </mergeCells>
  <pageMargins left="0.23622047244094491" right="0.23622047244094491" top="0.39370078740157483" bottom="0.39370078740157483" header="0.31496062992125984" footer="0.31496062992125984"/>
  <pageSetup paperSize="5" scale="35" fitToHeight="0" orientation="landscape" horizontalDpi="300" verticalDpi="300" r:id="rId1"/>
  <headerFooter>
    <oddFooter>&amp;CPágina &amp;P de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45B49-8547-4207-AA7D-5CD808B96734}">
  <sheetPr codeName="Sheet16">
    <pageSetUpPr fitToPage="1"/>
  </sheetPr>
  <dimension ref="A13:W86"/>
  <sheetViews>
    <sheetView topLeftCell="P68" zoomScale="71" zoomScaleNormal="71" workbookViewId="0">
      <selection activeCell="U24" activeCellId="1" sqref="E24:E76 U24:U76"/>
    </sheetView>
  </sheetViews>
  <sheetFormatPr defaultColWidth="11.42578125" defaultRowHeight="11.25" x14ac:dyDescent="0.2"/>
  <cols>
    <col min="1" max="1" width="33.42578125" style="53" bestFit="1" customWidth="1"/>
    <col min="2" max="2" width="39.5703125" style="53" customWidth="1"/>
    <col min="3" max="3" width="22.28515625" style="55" customWidth="1"/>
    <col min="4" max="5" width="27.140625" style="53" customWidth="1"/>
    <col min="6" max="6" width="13.85546875" style="53" customWidth="1"/>
    <col min="7" max="7" width="12.28515625" style="53" customWidth="1"/>
    <col min="8" max="8" width="20.42578125" style="57" customWidth="1"/>
    <col min="9" max="9" width="13.28515625" style="53" customWidth="1"/>
    <col min="10" max="11" width="21.5703125" style="53" customWidth="1"/>
    <col min="12" max="21" width="24.42578125" style="53" customWidth="1"/>
    <col min="22" max="22" width="34.7109375" style="53" customWidth="1"/>
    <col min="23" max="30" width="16.7109375" style="53" customWidth="1"/>
    <col min="31" max="142" width="11.42578125" style="53" customWidth="1"/>
    <col min="143" max="144" width="9.42578125" style="53" customWidth="1"/>
    <col min="145" max="145" width="5" style="53" customWidth="1"/>
    <col min="146" max="146" width="3.42578125" style="53" customWidth="1"/>
    <col min="147" max="147" width="8.7109375" style="53" customWidth="1"/>
    <col min="148" max="16384" width="11.42578125" style="53"/>
  </cols>
  <sheetData>
    <row r="13" spans="1:22" x14ac:dyDescent="0.2">
      <c r="A13" s="570"/>
      <c r="B13" s="570"/>
      <c r="C13" s="571"/>
      <c r="D13" s="570"/>
      <c r="E13" s="570"/>
      <c r="F13" s="570"/>
      <c r="G13" s="570"/>
      <c r="H13" s="572"/>
      <c r="I13" s="570"/>
      <c r="J13" s="570"/>
      <c r="K13" s="570"/>
      <c r="L13" s="570"/>
      <c r="M13" s="570"/>
      <c r="N13" s="570"/>
      <c r="O13" s="570"/>
      <c r="P13" s="570"/>
      <c r="Q13" s="570"/>
      <c r="R13" s="570"/>
      <c r="S13" s="570"/>
      <c r="T13" s="570"/>
      <c r="U13" s="570"/>
      <c r="V13" s="570"/>
    </row>
    <row r="14" spans="1:22" ht="17.25" customHeight="1" x14ac:dyDescent="0.2">
      <c r="A14" s="973" t="s">
        <v>0</v>
      </c>
      <c r="B14" s="973"/>
      <c r="C14" s="973"/>
      <c r="D14" s="973"/>
      <c r="E14" s="973"/>
      <c r="F14" s="973"/>
      <c r="G14" s="973"/>
      <c r="H14" s="973"/>
      <c r="I14" s="973"/>
      <c r="J14" s="973"/>
      <c r="K14" s="973"/>
      <c r="L14" s="973"/>
      <c r="M14" s="973"/>
      <c r="N14" s="973"/>
      <c r="O14" s="973"/>
      <c r="P14" s="973"/>
      <c r="Q14" s="973"/>
      <c r="R14" s="973"/>
      <c r="S14" s="973"/>
      <c r="T14" s="973"/>
      <c r="U14" s="973"/>
      <c r="V14" s="973"/>
    </row>
    <row r="15" spans="1:22" ht="19.5" x14ac:dyDescent="0.25">
      <c r="A15" s="858" t="s">
        <v>431</v>
      </c>
      <c r="B15" s="858"/>
      <c r="C15" s="858"/>
      <c r="D15" s="858"/>
      <c r="E15" s="858"/>
      <c r="F15" s="858"/>
      <c r="G15" s="858"/>
      <c r="H15" s="858"/>
      <c r="I15" s="858"/>
      <c r="J15" s="858"/>
      <c r="K15" s="858"/>
      <c r="L15" s="858"/>
      <c r="M15" s="858"/>
      <c r="N15" s="858"/>
      <c r="O15" s="858"/>
      <c r="P15" s="858"/>
      <c r="Q15" s="858"/>
      <c r="R15" s="858"/>
      <c r="S15" s="858"/>
      <c r="T15" s="858"/>
      <c r="U15" s="858"/>
      <c r="V15" s="858"/>
    </row>
    <row r="16" spans="1:22" ht="19.5" x14ac:dyDescent="0.25">
      <c r="A16" s="858" t="s">
        <v>42</v>
      </c>
      <c r="B16" s="858"/>
      <c r="C16" s="858"/>
      <c r="D16" s="858"/>
      <c r="E16" s="858"/>
      <c r="F16" s="858"/>
      <c r="G16" s="858"/>
      <c r="H16" s="858"/>
      <c r="I16" s="858"/>
      <c r="J16" s="858"/>
      <c r="K16" s="858"/>
      <c r="L16" s="858"/>
      <c r="M16" s="858"/>
      <c r="N16" s="858"/>
      <c r="O16" s="858"/>
      <c r="P16" s="858"/>
      <c r="Q16" s="858"/>
      <c r="R16" s="858"/>
      <c r="S16" s="858"/>
      <c r="T16" s="858"/>
      <c r="U16" s="858"/>
      <c r="V16" s="858"/>
    </row>
    <row r="17" spans="1:23" x14ac:dyDescent="0.2">
      <c r="A17" s="90"/>
      <c r="B17" s="90"/>
      <c r="C17" s="90"/>
      <c r="D17" s="90"/>
      <c r="E17" s="90"/>
      <c r="F17" s="90"/>
      <c r="G17" s="90"/>
      <c r="H17" s="90"/>
      <c r="I17" s="90"/>
      <c r="J17" s="90"/>
      <c r="K17" s="90"/>
      <c r="L17" s="90"/>
      <c r="M17" s="90"/>
      <c r="N17" s="90"/>
      <c r="O17" s="90"/>
      <c r="P17" s="90"/>
      <c r="Q17" s="90"/>
      <c r="R17" s="90"/>
      <c r="S17" s="90"/>
      <c r="T17" s="90"/>
      <c r="U17" s="90"/>
      <c r="V17" s="90"/>
    </row>
    <row r="18" spans="1:23" ht="15" x14ac:dyDescent="0.2">
      <c r="A18" s="100" t="s">
        <v>2</v>
      </c>
      <c r="B18" s="848" t="s">
        <v>432</v>
      </c>
      <c r="C18" s="848"/>
      <c r="D18" s="848"/>
      <c r="E18" s="848"/>
      <c r="F18" s="848"/>
      <c r="G18" s="848"/>
      <c r="H18" s="848"/>
      <c r="I18" s="848"/>
      <c r="J18" s="848"/>
      <c r="K18" s="848"/>
      <c r="L18" s="848"/>
      <c r="M18" s="848"/>
      <c r="N18" s="848"/>
      <c r="O18" s="848"/>
      <c r="P18" s="848"/>
      <c r="Q18" s="848"/>
      <c r="R18" s="848"/>
      <c r="S18" s="848"/>
      <c r="T18" s="848"/>
      <c r="U18" s="848"/>
      <c r="V18" s="848"/>
      <c r="W18" s="101"/>
    </row>
    <row r="19" spans="1:23" ht="15" x14ac:dyDescent="0.2">
      <c r="A19" s="100" t="s">
        <v>3</v>
      </c>
      <c r="B19" s="848" t="s">
        <v>114</v>
      </c>
      <c r="C19" s="848"/>
      <c r="D19" s="848"/>
      <c r="E19" s="848"/>
      <c r="F19" s="848"/>
      <c r="G19" s="848"/>
      <c r="H19" s="848"/>
      <c r="I19" s="848"/>
      <c r="J19" s="848"/>
      <c r="K19" s="848"/>
      <c r="L19" s="848"/>
      <c r="M19" s="848"/>
      <c r="N19" s="848"/>
      <c r="O19" s="848"/>
      <c r="P19" s="848"/>
      <c r="Q19" s="848"/>
      <c r="R19" s="848"/>
      <c r="S19" s="848"/>
      <c r="T19" s="848"/>
      <c r="U19" s="848"/>
      <c r="V19" s="848"/>
      <c r="W19" s="101"/>
    </row>
    <row r="20" spans="1:23" ht="15" x14ac:dyDescent="0.2">
      <c r="A20" s="100" t="s">
        <v>5</v>
      </c>
      <c r="B20" s="75" t="s">
        <v>189</v>
      </c>
      <c r="C20" s="256"/>
      <c r="D20" s="76"/>
      <c r="E20" s="76"/>
      <c r="F20" s="76"/>
      <c r="G20" s="76"/>
      <c r="H20" s="78"/>
      <c r="I20" s="76"/>
      <c r="J20" s="76"/>
      <c r="K20" s="76"/>
      <c r="L20" s="76"/>
      <c r="M20" s="76"/>
      <c r="N20" s="76"/>
      <c r="O20" s="76"/>
      <c r="P20" s="76"/>
      <c r="Q20" s="76"/>
      <c r="R20" s="76"/>
      <c r="S20" s="76"/>
      <c r="T20" s="76"/>
      <c r="U20" s="76"/>
      <c r="V20" s="257"/>
      <c r="W20" s="101"/>
    </row>
    <row r="21" spans="1:23" ht="15" x14ac:dyDescent="0.2">
      <c r="A21" s="101"/>
      <c r="B21" s="101"/>
      <c r="C21" s="258"/>
      <c r="D21" s="101"/>
      <c r="E21" s="101"/>
      <c r="F21" s="101"/>
      <c r="G21" s="101"/>
      <c r="H21" s="128"/>
      <c r="I21" s="101"/>
      <c r="J21" s="101"/>
      <c r="K21" s="101"/>
      <c r="L21" s="101"/>
      <c r="M21" s="101"/>
      <c r="N21" s="101"/>
      <c r="O21" s="101"/>
      <c r="P21" s="101"/>
      <c r="Q21" s="101"/>
      <c r="R21" s="101"/>
      <c r="S21" s="101"/>
      <c r="T21" s="101"/>
      <c r="U21" s="101"/>
      <c r="V21" s="101"/>
      <c r="W21" s="101"/>
    </row>
    <row r="22" spans="1:23" ht="18.75" customHeight="1" x14ac:dyDescent="0.2">
      <c r="A22" s="856" t="s">
        <v>6</v>
      </c>
      <c r="B22" s="845" t="s">
        <v>10</v>
      </c>
      <c r="C22" s="856" t="s">
        <v>43</v>
      </c>
      <c r="D22" s="856" t="s">
        <v>44</v>
      </c>
      <c r="E22" s="856" t="s">
        <v>540</v>
      </c>
      <c r="F22" s="856" t="s">
        <v>46</v>
      </c>
      <c r="G22" s="856" t="s">
        <v>47</v>
      </c>
      <c r="H22" s="845" t="s">
        <v>48</v>
      </c>
      <c r="I22" s="847" t="s">
        <v>11</v>
      </c>
      <c r="J22" s="847"/>
      <c r="K22" s="847"/>
      <c r="L22" s="847" t="s">
        <v>12</v>
      </c>
      <c r="M22" s="847"/>
      <c r="N22" s="847"/>
      <c r="O22" s="847" t="s">
        <v>13</v>
      </c>
      <c r="P22" s="847"/>
      <c r="Q22" s="847"/>
      <c r="R22" s="847" t="s">
        <v>14</v>
      </c>
      <c r="S22" s="847"/>
      <c r="T22" s="847"/>
      <c r="U22" s="845" t="s">
        <v>15</v>
      </c>
      <c r="V22" s="845" t="s">
        <v>49</v>
      </c>
      <c r="W22" s="101"/>
    </row>
    <row r="23" spans="1:23" s="54" customFormat="1" ht="32.25" customHeight="1" x14ac:dyDescent="0.25">
      <c r="A23" s="857"/>
      <c r="B23" s="845"/>
      <c r="C23" s="857"/>
      <c r="D23" s="857"/>
      <c r="E23" s="857"/>
      <c r="F23" s="857"/>
      <c r="G23" s="857"/>
      <c r="H23" s="845"/>
      <c r="I23" s="96" t="s">
        <v>19</v>
      </c>
      <c r="J23" s="96" t="s">
        <v>20</v>
      </c>
      <c r="K23" s="96" t="s">
        <v>21</v>
      </c>
      <c r="L23" s="98" t="s">
        <v>22</v>
      </c>
      <c r="M23" s="98" t="s">
        <v>23</v>
      </c>
      <c r="N23" s="98" t="s">
        <v>24</v>
      </c>
      <c r="O23" s="98" t="s">
        <v>25</v>
      </c>
      <c r="P23" s="98" t="s">
        <v>26</v>
      </c>
      <c r="Q23" s="98" t="s">
        <v>27</v>
      </c>
      <c r="R23" s="98" t="s">
        <v>28</v>
      </c>
      <c r="S23" s="98" t="s">
        <v>29</v>
      </c>
      <c r="T23" s="98" t="s">
        <v>30</v>
      </c>
      <c r="U23" s="845"/>
      <c r="V23" s="845"/>
      <c r="W23" s="156"/>
    </row>
    <row r="24" spans="1:23" ht="78" customHeight="1" x14ac:dyDescent="0.2">
      <c r="A24" s="974" t="s">
        <v>1101</v>
      </c>
      <c r="B24" s="267" t="str">
        <f>'POA Comunicaciones '!H21</f>
        <v>46.2 Coordinar eventos SIUBEN+ en conjunto con el área solicitante.
- Ejecutar los eventos solicitados</v>
      </c>
      <c r="C24" s="260" t="s">
        <v>486</v>
      </c>
      <c r="D24" s="261" t="s">
        <v>246</v>
      </c>
      <c r="E24" s="261" t="s">
        <v>238</v>
      </c>
      <c r="F24" s="261" t="s">
        <v>18</v>
      </c>
      <c r="G24" s="261">
        <v>1</v>
      </c>
      <c r="H24" s="419">
        <v>30000</v>
      </c>
      <c r="I24" s="420">
        <v>0</v>
      </c>
      <c r="J24" s="420">
        <v>0</v>
      </c>
      <c r="K24" s="420">
        <v>0</v>
      </c>
      <c r="L24" s="420">
        <v>0</v>
      </c>
      <c r="M24" s="420">
        <v>0</v>
      </c>
      <c r="N24" s="420">
        <v>0</v>
      </c>
      <c r="O24" s="420">
        <v>0</v>
      </c>
      <c r="P24" s="420">
        <f>H24</f>
        <v>30000</v>
      </c>
      <c r="Q24" s="420">
        <v>0</v>
      </c>
      <c r="R24" s="420">
        <v>0</v>
      </c>
      <c r="S24" s="420">
        <v>0</v>
      </c>
      <c r="T24" s="420">
        <v>0</v>
      </c>
      <c r="U24" s="420">
        <f t="shared" ref="U24:U55" si="0">SUM(I24:T24)</f>
        <v>30000</v>
      </c>
      <c r="V24" s="259"/>
      <c r="W24" s="101"/>
    </row>
    <row r="25" spans="1:23" ht="70.5" customHeight="1" x14ac:dyDescent="0.2">
      <c r="A25" s="975"/>
      <c r="B25" s="974" t="s">
        <v>1127</v>
      </c>
      <c r="C25" s="260" t="s">
        <v>486</v>
      </c>
      <c r="D25" s="261" t="s">
        <v>433</v>
      </c>
      <c r="E25" s="261" t="s">
        <v>757</v>
      </c>
      <c r="F25" s="261" t="s">
        <v>18</v>
      </c>
      <c r="G25" s="261">
        <v>1</v>
      </c>
      <c r="H25" s="419">
        <v>80000</v>
      </c>
      <c r="I25" s="420">
        <v>0</v>
      </c>
      <c r="J25" s="420">
        <v>0</v>
      </c>
      <c r="K25" s="420">
        <v>0</v>
      </c>
      <c r="L25" s="421">
        <v>0</v>
      </c>
      <c r="M25" s="421">
        <v>0</v>
      </c>
      <c r="N25" s="421">
        <v>80000</v>
      </c>
      <c r="O25" s="421">
        <v>0</v>
      </c>
      <c r="P25" s="421">
        <v>0</v>
      </c>
      <c r="Q25" s="421">
        <v>0</v>
      </c>
      <c r="R25" s="421">
        <v>0</v>
      </c>
      <c r="S25" s="421">
        <v>0</v>
      </c>
      <c r="T25" s="421">
        <v>0</v>
      </c>
      <c r="U25" s="420">
        <f t="shared" si="0"/>
        <v>80000</v>
      </c>
      <c r="V25" s="259"/>
      <c r="W25" s="101"/>
    </row>
    <row r="26" spans="1:23" ht="70.5" customHeight="1" x14ac:dyDescent="0.2">
      <c r="A26" s="975"/>
      <c r="B26" s="976"/>
      <c r="C26" s="260" t="s">
        <v>486</v>
      </c>
      <c r="D26" s="261" t="s">
        <v>434</v>
      </c>
      <c r="E26" s="261" t="s">
        <v>254</v>
      </c>
      <c r="F26" s="261" t="s">
        <v>18</v>
      </c>
      <c r="G26" s="261">
        <v>1</v>
      </c>
      <c r="H26" s="419">
        <v>20000</v>
      </c>
      <c r="I26" s="420">
        <v>0</v>
      </c>
      <c r="J26" s="420">
        <v>0</v>
      </c>
      <c r="K26" s="420">
        <v>0</v>
      </c>
      <c r="L26" s="421">
        <v>0</v>
      </c>
      <c r="M26" s="421">
        <v>0</v>
      </c>
      <c r="N26" s="421">
        <v>10000</v>
      </c>
      <c r="O26" s="421">
        <v>0</v>
      </c>
      <c r="P26" s="421">
        <v>0</v>
      </c>
      <c r="Q26" s="421">
        <v>0</v>
      </c>
      <c r="R26" s="421">
        <v>0</v>
      </c>
      <c r="S26" s="421">
        <v>0</v>
      </c>
      <c r="T26" s="421">
        <v>0</v>
      </c>
      <c r="U26" s="420">
        <f t="shared" si="0"/>
        <v>10000</v>
      </c>
      <c r="V26" s="259"/>
      <c r="W26" s="101"/>
    </row>
    <row r="27" spans="1:23" ht="70.5" customHeight="1" x14ac:dyDescent="0.2">
      <c r="A27" s="975"/>
      <c r="B27" s="267" t="s">
        <v>1121</v>
      </c>
      <c r="C27" s="260" t="s">
        <v>486</v>
      </c>
      <c r="D27" s="261" t="s">
        <v>246</v>
      </c>
      <c r="E27" s="261" t="s">
        <v>238</v>
      </c>
      <c r="F27" s="261" t="s">
        <v>18</v>
      </c>
      <c r="G27" s="261">
        <v>1</v>
      </c>
      <c r="H27" s="419">
        <v>30000</v>
      </c>
      <c r="I27" s="420">
        <v>0</v>
      </c>
      <c r="J27" s="420">
        <v>0</v>
      </c>
      <c r="K27" s="420">
        <v>0</v>
      </c>
      <c r="L27" s="421">
        <v>0</v>
      </c>
      <c r="M27" s="421">
        <v>0</v>
      </c>
      <c r="N27" s="421">
        <v>0</v>
      </c>
      <c r="O27" s="420">
        <v>30000</v>
      </c>
      <c r="P27" s="420">
        <v>0</v>
      </c>
      <c r="Q27" s="420">
        <v>0</v>
      </c>
      <c r="R27" s="420" t="s">
        <v>77</v>
      </c>
      <c r="S27" s="420">
        <v>0</v>
      </c>
      <c r="T27" s="420">
        <v>0</v>
      </c>
      <c r="U27" s="420">
        <f t="shared" si="0"/>
        <v>30000</v>
      </c>
      <c r="V27" s="259"/>
      <c r="W27" s="101"/>
    </row>
    <row r="28" spans="1:23" ht="70.5" customHeight="1" x14ac:dyDescent="0.2">
      <c r="A28" s="975"/>
      <c r="B28" s="974" t="s">
        <v>1122</v>
      </c>
      <c r="C28" s="260" t="s">
        <v>486</v>
      </c>
      <c r="D28" s="260" t="s">
        <v>435</v>
      </c>
      <c r="E28" s="261" t="s">
        <v>143</v>
      </c>
      <c r="F28" s="261" t="s">
        <v>131</v>
      </c>
      <c r="G28" s="261">
        <v>1</v>
      </c>
      <c r="H28" s="419">
        <v>4000</v>
      </c>
      <c r="I28" s="420">
        <v>0</v>
      </c>
      <c r="J28" s="420">
        <v>0</v>
      </c>
      <c r="K28" s="420">
        <v>0</v>
      </c>
      <c r="L28" s="420">
        <v>4000</v>
      </c>
      <c r="M28" s="421">
        <v>0</v>
      </c>
      <c r="N28" s="421">
        <v>0</v>
      </c>
      <c r="O28" s="421">
        <v>0</v>
      </c>
      <c r="P28" s="421">
        <v>0</v>
      </c>
      <c r="Q28" s="421">
        <v>0</v>
      </c>
      <c r="R28" s="421">
        <v>0</v>
      </c>
      <c r="S28" s="421">
        <v>0</v>
      </c>
      <c r="T28" s="421">
        <v>0</v>
      </c>
      <c r="U28" s="420">
        <f t="shared" si="0"/>
        <v>4000</v>
      </c>
      <c r="V28" s="259"/>
      <c r="W28" s="101"/>
    </row>
    <row r="29" spans="1:23" ht="70.5" customHeight="1" x14ac:dyDescent="0.2">
      <c r="A29" s="975"/>
      <c r="B29" s="975"/>
      <c r="C29" s="260" t="s">
        <v>486</v>
      </c>
      <c r="D29" s="260" t="s">
        <v>436</v>
      </c>
      <c r="E29" s="261" t="s">
        <v>171</v>
      </c>
      <c r="F29" s="261" t="s">
        <v>131</v>
      </c>
      <c r="G29" s="261">
        <v>1</v>
      </c>
      <c r="H29" s="419">
        <v>6000</v>
      </c>
      <c r="I29" s="420">
        <v>0</v>
      </c>
      <c r="J29" s="420">
        <v>0</v>
      </c>
      <c r="K29" s="420">
        <v>0</v>
      </c>
      <c r="L29" s="420">
        <v>6000</v>
      </c>
      <c r="M29" s="421">
        <v>0</v>
      </c>
      <c r="N29" s="421">
        <v>0</v>
      </c>
      <c r="O29" s="421">
        <v>0</v>
      </c>
      <c r="P29" s="421">
        <v>0</v>
      </c>
      <c r="Q29" s="421">
        <v>0</v>
      </c>
      <c r="R29" s="421">
        <v>0</v>
      </c>
      <c r="S29" s="421">
        <v>0</v>
      </c>
      <c r="T29" s="421">
        <v>0</v>
      </c>
      <c r="U29" s="420">
        <f t="shared" si="0"/>
        <v>6000</v>
      </c>
      <c r="V29" s="259"/>
      <c r="W29" s="101"/>
    </row>
    <row r="30" spans="1:23" ht="50.25" customHeight="1" x14ac:dyDescent="0.2">
      <c r="A30" s="975"/>
      <c r="B30" s="975"/>
      <c r="C30" s="260" t="s">
        <v>486</v>
      </c>
      <c r="D30" s="260" t="s">
        <v>437</v>
      </c>
      <c r="E30" s="261" t="s">
        <v>143</v>
      </c>
      <c r="F30" s="261" t="s">
        <v>131</v>
      </c>
      <c r="G30" s="261">
        <v>1</v>
      </c>
      <c r="H30" s="419">
        <v>10000</v>
      </c>
      <c r="I30" s="420">
        <v>0</v>
      </c>
      <c r="J30" s="420">
        <v>0</v>
      </c>
      <c r="K30" s="420">
        <v>0</v>
      </c>
      <c r="L30" s="420">
        <v>10000</v>
      </c>
      <c r="M30" s="421">
        <v>0</v>
      </c>
      <c r="N30" s="421">
        <v>0</v>
      </c>
      <c r="O30" s="421">
        <v>0</v>
      </c>
      <c r="P30" s="421">
        <v>0</v>
      </c>
      <c r="Q30" s="421">
        <v>0</v>
      </c>
      <c r="R30" s="421">
        <v>0</v>
      </c>
      <c r="S30" s="421">
        <v>0</v>
      </c>
      <c r="T30" s="421">
        <v>0</v>
      </c>
      <c r="U30" s="420">
        <f t="shared" si="0"/>
        <v>10000</v>
      </c>
      <c r="V30" s="259"/>
      <c r="W30" s="101"/>
    </row>
    <row r="31" spans="1:23" ht="57.75" customHeight="1" x14ac:dyDescent="0.2">
      <c r="A31" s="975"/>
      <c r="B31" s="975"/>
      <c r="C31" s="260" t="s">
        <v>486</v>
      </c>
      <c r="D31" s="260" t="s">
        <v>438</v>
      </c>
      <c r="E31" s="261" t="s">
        <v>143</v>
      </c>
      <c r="F31" s="261" t="s">
        <v>131</v>
      </c>
      <c r="G31" s="261">
        <v>1</v>
      </c>
      <c r="H31" s="419">
        <v>7500</v>
      </c>
      <c r="I31" s="420">
        <v>0</v>
      </c>
      <c r="J31" s="420">
        <v>0</v>
      </c>
      <c r="K31" s="420">
        <v>0</v>
      </c>
      <c r="L31" s="420">
        <v>7500</v>
      </c>
      <c r="M31" s="421">
        <v>0</v>
      </c>
      <c r="N31" s="421">
        <v>0</v>
      </c>
      <c r="O31" s="421">
        <v>0</v>
      </c>
      <c r="P31" s="421">
        <v>0</v>
      </c>
      <c r="Q31" s="421">
        <v>0</v>
      </c>
      <c r="R31" s="421">
        <v>0</v>
      </c>
      <c r="S31" s="421">
        <v>0</v>
      </c>
      <c r="T31" s="421">
        <v>0</v>
      </c>
      <c r="U31" s="420">
        <f t="shared" si="0"/>
        <v>7500</v>
      </c>
      <c r="V31" s="259"/>
      <c r="W31" s="101"/>
    </row>
    <row r="32" spans="1:23" ht="57.75" customHeight="1" x14ac:dyDescent="0.2">
      <c r="A32" s="975"/>
      <c r="B32" s="976"/>
      <c r="C32" s="260" t="s">
        <v>486</v>
      </c>
      <c r="D32" s="260" t="s">
        <v>439</v>
      </c>
      <c r="E32" s="260" t="s">
        <v>881</v>
      </c>
      <c r="F32" s="261" t="s">
        <v>131</v>
      </c>
      <c r="G32" s="261">
        <v>1</v>
      </c>
      <c r="H32" s="419">
        <v>11900</v>
      </c>
      <c r="I32" s="420">
        <v>0</v>
      </c>
      <c r="J32" s="420">
        <v>0</v>
      </c>
      <c r="K32" s="420">
        <v>0</v>
      </c>
      <c r="L32" s="420">
        <v>11900</v>
      </c>
      <c r="M32" s="421">
        <v>0</v>
      </c>
      <c r="N32" s="421">
        <v>0</v>
      </c>
      <c r="O32" s="421">
        <v>0</v>
      </c>
      <c r="P32" s="421">
        <v>0</v>
      </c>
      <c r="Q32" s="421">
        <v>0</v>
      </c>
      <c r="R32" s="421">
        <v>0</v>
      </c>
      <c r="S32" s="421">
        <v>0</v>
      </c>
      <c r="T32" s="421">
        <v>0</v>
      </c>
      <c r="U32" s="420">
        <f t="shared" si="0"/>
        <v>11900</v>
      </c>
      <c r="V32" s="259"/>
      <c r="W32" s="101"/>
    </row>
    <row r="33" spans="1:23" ht="40.5" customHeight="1" x14ac:dyDescent="0.2">
      <c r="A33" s="975"/>
      <c r="B33" s="974" t="s">
        <v>1123</v>
      </c>
      <c r="C33" s="260" t="s">
        <v>50</v>
      </c>
      <c r="D33" s="261" t="s">
        <v>326</v>
      </c>
      <c r="E33" s="261" t="s">
        <v>327</v>
      </c>
      <c r="F33" s="261" t="s">
        <v>322</v>
      </c>
      <c r="G33" s="261">
        <v>3</v>
      </c>
      <c r="H33" s="419">
        <v>600</v>
      </c>
      <c r="I33" s="420">
        <v>0</v>
      </c>
      <c r="J33" s="420">
        <v>0</v>
      </c>
      <c r="K33" s="420">
        <v>0</v>
      </c>
      <c r="L33" s="420">
        <f>G33*H33</f>
        <v>1800</v>
      </c>
      <c r="M33" s="420">
        <v>0</v>
      </c>
      <c r="N33" s="420">
        <v>0</v>
      </c>
      <c r="O33" s="420">
        <f>G33*H33</f>
        <v>1800</v>
      </c>
      <c r="P33" s="420">
        <v>0</v>
      </c>
      <c r="Q33" s="420">
        <v>0</v>
      </c>
      <c r="R33" s="420">
        <f>G33*H33</f>
        <v>1800</v>
      </c>
      <c r="S33" s="420">
        <v>0</v>
      </c>
      <c r="T33" s="420">
        <v>0</v>
      </c>
      <c r="U33" s="420">
        <f t="shared" si="0"/>
        <v>5400</v>
      </c>
      <c r="V33" s="259"/>
      <c r="W33" s="101"/>
    </row>
    <row r="34" spans="1:23" ht="30" x14ac:dyDescent="0.2">
      <c r="A34" s="975"/>
      <c r="B34" s="975"/>
      <c r="C34" s="260" t="s">
        <v>50</v>
      </c>
      <c r="D34" s="261" t="s">
        <v>440</v>
      </c>
      <c r="E34" s="261" t="s">
        <v>69</v>
      </c>
      <c r="F34" s="261" t="s">
        <v>322</v>
      </c>
      <c r="G34" s="261">
        <v>3</v>
      </c>
      <c r="H34" s="419">
        <v>1500</v>
      </c>
      <c r="I34" s="420">
        <v>0</v>
      </c>
      <c r="J34" s="420">
        <v>0</v>
      </c>
      <c r="K34" s="420">
        <v>0</v>
      </c>
      <c r="L34" s="420">
        <f>G34*H34</f>
        <v>4500</v>
      </c>
      <c r="M34" s="420">
        <v>0</v>
      </c>
      <c r="N34" s="420">
        <v>0</v>
      </c>
      <c r="O34" s="420">
        <f>G34*H34</f>
        <v>4500</v>
      </c>
      <c r="P34" s="420">
        <v>0</v>
      </c>
      <c r="Q34" s="420">
        <v>0</v>
      </c>
      <c r="R34" s="420">
        <f>G34*H34</f>
        <v>4500</v>
      </c>
      <c r="S34" s="420">
        <v>0</v>
      </c>
      <c r="T34" s="420">
        <v>0</v>
      </c>
      <c r="U34" s="420">
        <f t="shared" si="0"/>
        <v>13500</v>
      </c>
      <c r="V34" s="259"/>
      <c r="W34" s="101"/>
    </row>
    <row r="35" spans="1:23" ht="60" customHeight="1" x14ac:dyDescent="0.2">
      <c r="A35" s="975"/>
      <c r="B35" s="975"/>
      <c r="C35" s="260" t="s">
        <v>486</v>
      </c>
      <c r="D35" s="261" t="s">
        <v>246</v>
      </c>
      <c r="E35" s="261" t="s">
        <v>238</v>
      </c>
      <c r="F35" s="261" t="s">
        <v>18</v>
      </c>
      <c r="G35" s="261">
        <v>3</v>
      </c>
      <c r="H35" s="419">
        <v>10000</v>
      </c>
      <c r="I35" s="420">
        <v>0</v>
      </c>
      <c r="J35" s="420">
        <v>0</v>
      </c>
      <c r="K35" s="420">
        <v>0</v>
      </c>
      <c r="L35" s="420">
        <v>10000</v>
      </c>
      <c r="M35" s="420">
        <v>0</v>
      </c>
      <c r="N35" s="420">
        <v>0</v>
      </c>
      <c r="O35" s="420">
        <v>10000</v>
      </c>
      <c r="P35" s="420">
        <v>0</v>
      </c>
      <c r="Q35" s="420">
        <v>0</v>
      </c>
      <c r="R35" s="420">
        <v>10000</v>
      </c>
      <c r="S35" s="420">
        <v>0</v>
      </c>
      <c r="T35" s="420">
        <v>0</v>
      </c>
      <c r="U35" s="420">
        <f t="shared" si="0"/>
        <v>30000</v>
      </c>
      <c r="V35" s="259"/>
      <c r="W35" s="101"/>
    </row>
    <row r="36" spans="1:23" ht="57.75" customHeight="1" x14ac:dyDescent="0.2">
      <c r="A36" s="975"/>
      <c r="B36" s="976"/>
      <c r="C36" s="260" t="s">
        <v>486</v>
      </c>
      <c r="D36" s="260" t="s">
        <v>1078</v>
      </c>
      <c r="E36" s="261" t="s">
        <v>757</v>
      </c>
      <c r="F36" s="261" t="s">
        <v>18</v>
      </c>
      <c r="G36" s="261">
        <v>4</v>
      </c>
      <c r="H36" s="419">
        <v>21250</v>
      </c>
      <c r="I36" s="420">
        <v>0</v>
      </c>
      <c r="J36" s="420">
        <v>0</v>
      </c>
      <c r="K36" s="420">
        <v>21250</v>
      </c>
      <c r="L36" s="420"/>
      <c r="M36" s="420">
        <v>0</v>
      </c>
      <c r="N36" s="420">
        <v>21250</v>
      </c>
      <c r="O36" s="420"/>
      <c r="P36" s="420">
        <v>0</v>
      </c>
      <c r="Q36" s="420">
        <v>21250</v>
      </c>
      <c r="R36" s="420"/>
      <c r="S36" s="420">
        <v>0</v>
      </c>
      <c r="T36" s="420">
        <v>21250</v>
      </c>
      <c r="U36" s="420">
        <f t="shared" si="0"/>
        <v>85000</v>
      </c>
      <c r="V36" s="259"/>
      <c r="W36" s="101"/>
    </row>
    <row r="37" spans="1:23" s="271" customFormat="1" ht="60" customHeight="1" x14ac:dyDescent="0.25">
      <c r="A37" s="975"/>
      <c r="B37" s="267" t="s">
        <v>1124</v>
      </c>
      <c r="C37" s="260" t="s">
        <v>486</v>
      </c>
      <c r="D37" s="260" t="s">
        <v>441</v>
      </c>
      <c r="E37" s="260" t="s">
        <v>136</v>
      </c>
      <c r="F37" s="261" t="s">
        <v>131</v>
      </c>
      <c r="G37" s="261">
        <v>1</v>
      </c>
      <c r="H37" s="419">
        <v>40000</v>
      </c>
      <c r="I37" s="420">
        <v>0</v>
      </c>
      <c r="J37" s="420">
        <v>0</v>
      </c>
      <c r="K37" s="420">
        <f>+H37</f>
        <v>40000</v>
      </c>
      <c r="L37" s="420">
        <v>0</v>
      </c>
      <c r="M37" s="420">
        <v>0</v>
      </c>
      <c r="N37" s="420">
        <v>0</v>
      </c>
      <c r="O37" s="420">
        <v>0</v>
      </c>
      <c r="P37" s="420">
        <v>0</v>
      </c>
      <c r="Q37" s="420">
        <v>0</v>
      </c>
      <c r="R37" s="420">
        <v>0</v>
      </c>
      <c r="S37" s="420">
        <v>0</v>
      </c>
      <c r="T37" s="420">
        <v>0</v>
      </c>
      <c r="U37" s="420">
        <f t="shared" si="0"/>
        <v>40000</v>
      </c>
      <c r="V37" s="562"/>
      <c r="W37" s="270"/>
    </row>
    <row r="38" spans="1:23" ht="60" customHeight="1" x14ac:dyDescent="0.2">
      <c r="A38" s="975"/>
      <c r="B38" s="974" t="str">
        <f>'POA Comunicaciones '!H27</f>
        <v>46.8 Recepción y análisis de las solicitudes para crear
contenidos 
- Conceptualizar temas, crear las plantillas y artes para la
publicación de las informaciones, y creación de los
contenidos
- Contenido aprobado y difundido por
parte del Departamento de Comunicaciones</v>
      </c>
      <c r="C38" s="260" t="s">
        <v>486</v>
      </c>
      <c r="D38" s="260" t="s">
        <v>442</v>
      </c>
      <c r="E38" s="260" t="s">
        <v>136</v>
      </c>
      <c r="F38" s="261" t="s">
        <v>131</v>
      </c>
      <c r="G38" s="261">
        <v>1</v>
      </c>
      <c r="H38" s="419">
        <v>10000</v>
      </c>
      <c r="I38" s="420">
        <v>0</v>
      </c>
      <c r="J38" s="420">
        <v>0</v>
      </c>
      <c r="K38" s="420">
        <v>10000</v>
      </c>
      <c r="L38" s="421">
        <v>0</v>
      </c>
      <c r="M38" s="421">
        <v>0</v>
      </c>
      <c r="N38" s="421">
        <v>0</v>
      </c>
      <c r="O38" s="421">
        <v>0</v>
      </c>
      <c r="P38" s="421">
        <v>0</v>
      </c>
      <c r="Q38" s="421">
        <v>0</v>
      </c>
      <c r="R38" s="421">
        <v>0</v>
      </c>
      <c r="S38" s="421">
        <v>0</v>
      </c>
      <c r="T38" s="421">
        <v>0</v>
      </c>
      <c r="U38" s="420">
        <f t="shared" si="0"/>
        <v>10000</v>
      </c>
      <c r="V38" s="259"/>
      <c r="W38" s="101"/>
    </row>
    <row r="39" spans="1:23" ht="60" customHeight="1" x14ac:dyDescent="0.2">
      <c r="A39" s="975"/>
      <c r="B39" s="975"/>
      <c r="C39" s="260" t="s">
        <v>486</v>
      </c>
      <c r="D39" s="260" t="s">
        <v>443</v>
      </c>
      <c r="E39" s="260" t="s">
        <v>136</v>
      </c>
      <c r="F39" s="261" t="s">
        <v>131</v>
      </c>
      <c r="G39" s="261">
        <v>1</v>
      </c>
      <c r="H39" s="419">
        <v>7000</v>
      </c>
      <c r="I39" s="420"/>
      <c r="J39" s="420"/>
      <c r="K39" s="420">
        <v>7000</v>
      </c>
      <c r="L39" s="420"/>
      <c r="M39" s="420"/>
      <c r="N39" s="420"/>
      <c r="O39" s="420"/>
      <c r="P39" s="420"/>
      <c r="Q39" s="420"/>
      <c r="R39" s="420"/>
      <c r="S39" s="420"/>
      <c r="T39" s="420"/>
      <c r="U39" s="420">
        <f t="shared" si="0"/>
        <v>7000</v>
      </c>
      <c r="V39" s="259"/>
      <c r="W39" s="101"/>
    </row>
    <row r="40" spans="1:23" ht="60" customHeight="1" x14ac:dyDescent="0.2">
      <c r="A40" s="975"/>
      <c r="B40" s="975"/>
      <c r="C40" s="260" t="s">
        <v>486</v>
      </c>
      <c r="D40" s="260" t="s">
        <v>444</v>
      </c>
      <c r="E40" s="260" t="s">
        <v>136</v>
      </c>
      <c r="F40" s="261" t="s">
        <v>131</v>
      </c>
      <c r="G40" s="261">
        <v>3</v>
      </c>
      <c r="H40" s="419">
        <v>3000</v>
      </c>
      <c r="I40" s="420"/>
      <c r="J40" s="420"/>
      <c r="K40" s="420"/>
      <c r="L40" s="420"/>
      <c r="M40" s="420">
        <v>3000</v>
      </c>
      <c r="N40" s="420"/>
      <c r="O40" s="420"/>
      <c r="P40" s="420">
        <v>3000</v>
      </c>
      <c r="Q40" s="420"/>
      <c r="R40" s="420"/>
      <c r="S40" s="420">
        <v>3000</v>
      </c>
      <c r="T40" s="420"/>
      <c r="U40" s="420">
        <f t="shared" si="0"/>
        <v>9000</v>
      </c>
      <c r="V40" s="259"/>
      <c r="W40" s="101"/>
    </row>
    <row r="41" spans="1:23" ht="54" customHeight="1" x14ac:dyDescent="0.2">
      <c r="A41" s="976"/>
      <c r="B41" s="976"/>
      <c r="C41" s="260" t="s">
        <v>486</v>
      </c>
      <c r="D41" s="260" t="s">
        <v>445</v>
      </c>
      <c r="E41" s="260" t="s">
        <v>136</v>
      </c>
      <c r="F41" s="261" t="s">
        <v>131</v>
      </c>
      <c r="G41" s="261">
        <v>1</v>
      </c>
      <c r="H41" s="419">
        <v>10000</v>
      </c>
      <c r="I41" s="420"/>
      <c r="J41" s="420"/>
      <c r="K41" s="420">
        <v>10000</v>
      </c>
      <c r="L41" s="420"/>
      <c r="M41" s="420"/>
      <c r="N41" s="420"/>
      <c r="O41" s="420"/>
      <c r="P41" s="420"/>
      <c r="Q41" s="420"/>
      <c r="R41" s="420"/>
      <c r="S41" s="420"/>
      <c r="T41" s="420"/>
      <c r="U41" s="420">
        <f t="shared" si="0"/>
        <v>10000</v>
      </c>
      <c r="V41" s="259"/>
      <c r="W41" s="101"/>
    </row>
    <row r="42" spans="1:23" ht="56.25" customHeight="1" x14ac:dyDescent="0.2">
      <c r="A42" s="873" t="s">
        <v>1102</v>
      </c>
      <c r="B42" s="873" t="s">
        <v>1110</v>
      </c>
      <c r="C42" s="160" t="s">
        <v>486</v>
      </c>
      <c r="D42" s="160" t="s">
        <v>446</v>
      </c>
      <c r="E42" s="160" t="s">
        <v>143</v>
      </c>
      <c r="F42" s="203" t="s">
        <v>131</v>
      </c>
      <c r="G42" s="203">
        <v>46</v>
      </c>
      <c r="H42" s="262">
        <v>50</v>
      </c>
      <c r="I42" s="422">
        <v>0</v>
      </c>
      <c r="J42" s="422">
        <v>0</v>
      </c>
      <c r="K42" s="263">
        <f>+H42*15</f>
        <v>750</v>
      </c>
      <c r="L42" s="422">
        <v>0</v>
      </c>
      <c r="M42" s="422">
        <v>0</v>
      </c>
      <c r="N42" s="263">
        <f>+H42*15</f>
        <v>750</v>
      </c>
      <c r="O42" s="422">
        <v>0</v>
      </c>
      <c r="P42" s="422">
        <v>0</v>
      </c>
      <c r="Q42" s="422">
        <v>0</v>
      </c>
      <c r="R42" s="263">
        <f>15*H42</f>
        <v>750</v>
      </c>
      <c r="S42" s="422">
        <v>0</v>
      </c>
      <c r="T42" s="422">
        <v>0</v>
      </c>
      <c r="U42" s="423">
        <f t="shared" si="0"/>
        <v>2250</v>
      </c>
      <c r="V42" s="264"/>
      <c r="W42" s="101"/>
    </row>
    <row r="43" spans="1:23" ht="70.5" customHeight="1" x14ac:dyDescent="0.2">
      <c r="A43" s="874"/>
      <c r="B43" s="874"/>
      <c r="C43" s="160" t="s">
        <v>486</v>
      </c>
      <c r="D43" s="160" t="s">
        <v>447</v>
      </c>
      <c r="E43" s="160" t="s">
        <v>143</v>
      </c>
      <c r="F43" s="203" t="s">
        <v>131</v>
      </c>
      <c r="G43" s="203">
        <v>200</v>
      </c>
      <c r="H43" s="262">
        <v>300</v>
      </c>
      <c r="I43" s="422">
        <v>0</v>
      </c>
      <c r="J43" s="422">
        <v>0</v>
      </c>
      <c r="K43" s="263">
        <v>1000</v>
      </c>
      <c r="L43" s="422">
        <v>0</v>
      </c>
      <c r="M43" s="422">
        <v>0</v>
      </c>
      <c r="N43" s="263">
        <v>1000</v>
      </c>
      <c r="O43" s="422">
        <v>0</v>
      </c>
      <c r="P43" s="422">
        <v>0</v>
      </c>
      <c r="Q43" s="422">
        <v>0</v>
      </c>
      <c r="R43" s="263">
        <v>1000</v>
      </c>
      <c r="S43" s="422">
        <v>0</v>
      </c>
      <c r="T43" s="422">
        <v>0</v>
      </c>
      <c r="U43" s="423">
        <f t="shared" si="0"/>
        <v>3000</v>
      </c>
      <c r="V43" s="264"/>
      <c r="W43" s="447"/>
    </row>
    <row r="44" spans="1:23" ht="45" customHeight="1" x14ac:dyDescent="0.2">
      <c r="A44" s="874"/>
      <c r="B44" s="874"/>
      <c r="C44" s="160" t="s">
        <v>486</v>
      </c>
      <c r="D44" s="160" t="s">
        <v>448</v>
      </c>
      <c r="E44" s="160" t="s">
        <v>143</v>
      </c>
      <c r="F44" s="203" t="s">
        <v>131</v>
      </c>
      <c r="G44" s="203">
        <v>2</v>
      </c>
      <c r="H44" s="262">
        <v>300</v>
      </c>
      <c r="I44" s="422">
        <v>0</v>
      </c>
      <c r="J44" s="422">
        <v>0</v>
      </c>
      <c r="K44" s="263">
        <v>300</v>
      </c>
      <c r="L44" s="422">
        <v>0</v>
      </c>
      <c r="M44" s="422">
        <v>0</v>
      </c>
      <c r="N44" s="263"/>
      <c r="O44" s="422">
        <v>0</v>
      </c>
      <c r="P44" s="422">
        <v>0</v>
      </c>
      <c r="Q44" s="422">
        <v>0</v>
      </c>
      <c r="R44" s="263">
        <v>300</v>
      </c>
      <c r="S44" s="422">
        <v>0</v>
      </c>
      <c r="T44" s="422">
        <v>0</v>
      </c>
      <c r="U44" s="423">
        <f t="shared" si="0"/>
        <v>600</v>
      </c>
      <c r="V44" s="264"/>
      <c r="W44" s="101"/>
    </row>
    <row r="45" spans="1:23" ht="45" customHeight="1" x14ac:dyDescent="0.2">
      <c r="A45" s="874"/>
      <c r="B45" s="874"/>
      <c r="C45" s="160" t="s">
        <v>486</v>
      </c>
      <c r="D45" s="160" t="s">
        <v>449</v>
      </c>
      <c r="E45" s="160" t="s">
        <v>52</v>
      </c>
      <c r="F45" s="203" t="s">
        <v>450</v>
      </c>
      <c r="G45" s="203">
        <v>2</v>
      </c>
      <c r="H45" s="262">
        <v>400</v>
      </c>
      <c r="I45" s="422">
        <v>0</v>
      </c>
      <c r="J45" s="422">
        <v>0</v>
      </c>
      <c r="K45" s="263">
        <v>400</v>
      </c>
      <c r="L45" s="422">
        <v>0</v>
      </c>
      <c r="M45" s="422">
        <v>0</v>
      </c>
      <c r="N45" s="263">
        <v>400</v>
      </c>
      <c r="O45" s="422">
        <v>0</v>
      </c>
      <c r="P45" s="422">
        <v>0</v>
      </c>
      <c r="Q45" s="422">
        <v>0</v>
      </c>
      <c r="R45" s="263">
        <v>0</v>
      </c>
      <c r="S45" s="422">
        <v>0</v>
      </c>
      <c r="T45" s="422">
        <v>0</v>
      </c>
      <c r="U45" s="423">
        <f t="shared" si="0"/>
        <v>800</v>
      </c>
      <c r="V45" s="264"/>
      <c r="W45" s="101"/>
    </row>
    <row r="46" spans="1:23" ht="45" customHeight="1" x14ac:dyDescent="0.2">
      <c r="A46" s="874"/>
      <c r="B46" s="874"/>
      <c r="C46" s="160" t="s">
        <v>486</v>
      </c>
      <c r="D46" s="160" t="s">
        <v>451</v>
      </c>
      <c r="E46" s="160" t="s">
        <v>52</v>
      </c>
      <c r="F46" s="203" t="s">
        <v>452</v>
      </c>
      <c r="G46" s="203">
        <v>2</v>
      </c>
      <c r="H46" s="262">
        <v>600</v>
      </c>
      <c r="I46" s="422">
        <v>0</v>
      </c>
      <c r="J46" s="422">
        <v>0</v>
      </c>
      <c r="K46" s="263">
        <v>600</v>
      </c>
      <c r="L46" s="422">
        <v>0</v>
      </c>
      <c r="M46" s="422">
        <v>0</v>
      </c>
      <c r="N46" s="263"/>
      <c r="O46" s="422">
        <v>0</v>
      </c>
      <c r="P46" s="422">
        <v>0</v>
      </c>
      <c r="Q46" s="422">
        <v>0</v>
      </c>
      <c r="R46" s="263">
        <v>600</v>
      </c>
      <c r="S46" s="422">
        <v>0</v>
      </c>
      <c r="T46" s="422">
        <v>0</v>
      </c>
      <c r="U46" s="423">
        <f t="shared" si="0"/>
        <v>1200</v>
      </c>
      <c r="V46" s="264"/>
      <c r="W46" s="101"/>
    </row>
    <row r="47" spans="1:23" ht="45" customHeight="1" x14ac:dyDescent="0.2">
      <c r="A47" s="874"/>
      <c r="B47" s="874"/>
      <c r="C47" s="160" t="s">
        <v>486</v>
      </c>
      <c r="D47" s="160" t="s">
        <v>453</v>
      </c>
      <c r="E47" s="160" t="s">
        <v>143</v>
      </c>
      <c r="F47" s="203" t="s">
        <v>450</v>
      </c>
      <c r="G47" s="203">
        <v>2</v>
      </c>
      <c r="H47" s="262">
        <v>400</v>
      </c>
      <c r="I47" s="422">
        <v>0</v>
      </c>
      <c r="J47" s="422">
        <v>0</v>
      </c>
      <c r="K47" s="263"/>
      <c r="L47" s="422">
        <v>0</v>
      </c>
      <c r="M47" s="422">
        <v>0</v>
      </c>
      <c r="N47" s="263">
        <v>400</v>
      </c>
      <c r="O47" s="422">
        <v>0</v>
      </c>
      <c r="P47" s="422">
        <v>0</v>
      </c>
      <c r="Q47" s="422">
        <v>0</v>
      </c>
      <c r="R47" s="263">
        <v>400</v>
      </c>
      <c r="S47" s="422">
        <v>0</v>
      </c>
      <c r="T47" s="422">
        <v>0</v>
      </c>
      <c r="U47" s="423">
        <f t="shared" si="0"/>
        <v>800</v>
      </c>
      <c r="V47" s="264"/>
      <c r="W47" s="101"/>
    </row>
    <row r="48" spans="1:23" ht="45" customHeight="1" x14ac:dyDescent="0.2">
      <c r="A48" s="874"/>
      <c r="B48" s="874"/>
      <c r="C48" s="160" t="s">
        <v>486</v>
      </c>
      <c r="D48" s="160" t="s">
        <v>454</v>
      </c>
      <c r="E48" s="160" t="s">
        <v>143</v>
      </c>
      <c r="F48" s="203" t="s">
        <v>455</v>
      </c>
      <c r="G48" s="203">
        <v>25</v>
      </c>
      <c r="H48" s="262">
        <v>80</v>
      </c>
      <c r="I48" s="422">
        <v>0</v>
      </c>
      <c r="J48" s="422">
        <v>0</v>
      </c>
      <c r="K48" s="263">
        <v>500</v>
      </c>
      <c r="L48" s="422">
        <v>0</v>
      </c>
      <c r="M48" s="422">
        <v>0</v>
      </c>
      <c r="N48" s="263">
        <v>500</v>
      </c>
      <c r="O48" s="422">
        <v>0</v>
      </c>
      <c r="P48" s="422">
        <v>0</v>
      </c>
      <c r="Q48" s="422">
        <v>0</v>
      </c>
      <c r="R48" s="263">
        <v>500</v>
      </c>
      <c r="S48" s="422">
        <v>0</v>
      </c>
      <c r="T48" s="422">
        <v>0</v>
      </c>
      <c r="U48" s="423">
        <f t="shared" si="0"/>
        <v>1500</v>
      </c>
      <c r="V48" s="264"/>
      <c r="W48" s="101"/>
    </row>
    <row r="49" spans="1:23" ht="45" customHeight="1" x14ac:dyDescent="0.2">
      <c r="A49" s="874"/>
      <c r="B49" s="874"/>
      <c r="C49" s="160" t="s">
        <v>486</v>
      </c>
      <c r="D49" s="160" t="s">
        <v>456</v>
      </c>
      <c r="E49" s="160" t="s">
        <v>143</v>
      </c>
      <c r="F49" s="203" t="s">
        <v>452</v>
      </c>
      <c r="G49" s="203">
        <v>2</v>
      </c>
      <c r="H49" s="262">
        <v>700</v>
      </c>
      <c r="I49" s="422">
        <v>0</v>
      </c>
      <c r="J49" s="422">
        <v>0</v>
      </c>
      <c r="K49" s="263">
        <v>700</v>
      </c>
      <c r="L49" s="422">
        <v>0</v>
      </c>
      <c r="M49" s="422">
        <v>0</v>
      </c>
      <c r="N49" s="263"/>
      <c r="O49" s="422">
        <v>0</v>
      </c>
      <c r="P49" s="422">
        <v>0</v>
      </c>
      <c r="Q49" s="422">
        <v>0</v>
      </c>
      <c r="R49" s="263">
        <v>700</v>
      </c>
      <c r="S49" s="422">
        <v>0</v>
      </c>
      <c r="T49" s="422">
        <v>0</v>
      </c>
      <c r="U49" s="423">
        <f t="shared" si="0"/>
        <v>1400</v>
      </c>
      <c r="V49" s="264"/>
      <c r="W49" s="101"/>
    </row>
    <row r="50" spans="1:23" ht="45" customHeight="1" x14ac:dyDescent="0.2">
      <c r="A50" s="874"/>
      <c r="B50" s="874"/>
      <c r="C50" s="160" t="s">
        <v>486</v>
      </c>
      <c r="D50" s="160" t="s">
        <v>457</v>
      </c>
      <c r="E50" s="160" t="s">
        <v>143</v>
      </c>
      <c r="F50" s="203" t="s">
        <v>452</v>
      </c>
      <c r="G50" s="203">
        <v>2</v>
      </c>
      <c r="H50" s="262">
        <v>700</v>
      </c>
      <c r="I50" s="422">
        <v>0</v>
      </c>
      <c r="J50" s="422">
        <v>0</v>
      </c>
      <c r="K50" s="263">
        <v>700</v>
      </c>
      <c r="L50" s="422">
        <v>0</v>
      </c>
      <c r="M50" s="422">
        <v>0</v>
      </c>
      <c r="N50" s="263">
        <v>700</v>
      </c>
      <c r="O50" s="422">
        <v>0</v>
      </c>
      <c r="P50" s="422">
        <v>0</v>
      </c>
      <c r="Q50" s="422">
        <v>0</v>
      </c>
      <c r="R50" s="263">
        <v>0</v>
      </c>
      <c r="S50" s="422">
        <v>0</v>
      </c>
      <c r="T50" s="422">
        <v>0</v>
      </c>
      <c r="U50" s="423">
        <f t="shared" si="0"/>
        <v>1400</v>
      </c>
      <c r="V50" s="264"/>
      <c r="W50" s="101"/>
    </row>
    <row r="51" spans="1:23" ht="45" customHeight="1" x14ac:dyDescent="0.2">
      <c r="A51" s="874"/>
      <c r="B51" s="874"/>
      <c r="C51" s="160" t="s">
        <v>486</v>
      </c>
      <c r="D51" s="160" t="s">
        <v>458</v>
      </c>
      <c r="E51" s="160" t="s">
        <v>143</v>
      </c>
      <c r="F51" s="203" t="s">
        <v>372</v>
      </c>
      <c r="G51" s="203">
        <v>9</v>
      </c>
      <c r="H51" s="262">
        <v>200</v>
      </c>
      <c r="I51" s="422">
        <v>0</v>
      </c>
      <c r="J51" s="422">
        <v>0</v>
      </c>
      <c r="K51" s="263">
        <v>600</v>
      </c>
      <c r="L51" s="422">
        <v>0</v>
      </c>
      <c r="M51" s="422">
        <v>0</v>
      </c>
      <c r="N51" s="263">
        <v>400</v>
      </c>
      <c r="O51" s="422">
        <v>0</v>
      </c>
      <c r="P51" s="422">
        <v>0</v>
      </c>
      <c r="Q51" s="422">
        <v>0</v>
      </c>
      <c r="R51" s="263">
        <v>1000</v>
      </c>
      <c r="S51" s="422">
        <v>0</v>
      </c>
      <c r="T51" s="422">
        <v>0</v>
      </c>
      <c r="U51" s="423">
        <f t="shared" si="0"/>
        <v>2000</v>
      </c>
      <c r="V51" s="264"/>
      <c r="W51" s="101"/>
    </row>
    <row r="52" spans="1:23" ht="45" customHeight="1" x14ac:dyDescent="0.2">
      <c r="A52" s="874"/>
      <c r="B52" s="874"/>
      <c r="C52" s="160" t="s">
        <v>486</v>
      </c>
      <c r="D52" s="160" t="s">
        <v>459</v>
      </c>
      <c r="E52" s="160" t="s">
        <v>143</v>
      </c>
      <c r="F52" s="203" t="s">
        <v>131</v>
      </c>
      <c r="G52" s="203">
        <v>10</v>
      </c>
      <c r="H52" s="262">
        <v>300</v>
      </c>
      <c r="I52" s="422">
        <v>0</v>
      </c>
      <c r="J52" s="422">
        <v>0</v>
      </c>
      <c r="K52" s="263">
        <v>900</v>
      </c>
      <c r="L52" s="422">
        <v>0</v>
      </c>
      <c r="M52" s="422">
        <v>0</v>
      </c>
      <c r="N52" s="263">
        <v>900</v>
      </c>
      <c r="O52" s="422">
        <v>0</v>
      </c>
      <c r="P52" s="422">
        <v>0</v>
      </c>
      <c r="Q52" s="422">
        <v>0</v>
      </c>
      <c r="R52" s="263">
        <v>1200</v>
      </c>
      <c r="S52" s="422">
        <v>0</v>
      </c>
      <c r="T52" s="422">
        <v>0</v>
      </c>
      <c r="U52" s="423">
        <f t="shared" si="0"/>
        <v>3000</v>
      </c>
      <c r="V52" s="264"/>
      <c r="W52" s="101"/>
    </row>
    <row r="53" spans="1:23" ht="45" customHeight="1" x14ac:dyDescent="0.2">
      <c r="A53" s="874"/>
      <c r="B53" s="874"/>
      <c r="C53" s="160" t="s">
        <v>486</v>
      </c>
      <c r="D53" s="160" t="s">
        <v>460</v>
      </c>
      <c r="E53" s="160" t="s">
        <v>143</v>
      </c>
      <c r="F53" s="203" t="s">
        <v>372</v>
      </c>
      <c r="G53" s="203">
        <v>2</v>
      </c>
      <c r="H53" s="262">
        <v>400</v>
      </c>
      <c r="I53" s="422">
        <v>0</v>
      </c>
      <c r="J53" s="422">
        <v>0</v>
      </c>
      <c r="K53" s="263">
        <v>400</v>
      </c>
      <c r="L53" s="422">
        <v>0</v>
      </c>
      <c r="M53" s="422">
        <v>0</v>
      </c>
      <c r="N53" s="263"/>
      <c r="O53" s="422">
        <v>0</v>
      </c>
      <c r="P53" s="422">
        <v>0</v>
      </c>
      <c r="Q53" s="422">
        <v>0</v>
      </c>
      <c r="R53" s="263">
        <v>400</v>
      </c>
      <c r="S53" s="422">
        <v>0</v>
      </c>
      <c r="T53" s="422">
        <v>0</v>
      </c>
      <c r="U53" s="423">
        <f t="shared" si="0"/>
        <v>800</v>
      </c>
      <c r="V53" s="264"/>
      <c r="W53" s="101"/>
    </row>
    <row r="54" spans="1:23" ht="45" customHeight="1" x14ac:dyDescent="0.2">
      <c r="A54" s="874"/>
      <c r="B54" s="874"/>
      <c r="C54" s="160" t="s">
        <v>486</v>
      </c>
      <c r="D54" s="160" t="s">
        <v>461</v>
      </c>
      <c r="E54" s="160" t="s">
        <v>143</v>
      </c>
      <c r="F54" s="203" t="s">
        <v>131</v>
      </c>
      <c r="G54" s="203">
        <v>1</v>
      </c>
      <c r="H54" s="262">
        <v>300</v>
      </c>
      <c r="I54" s="422">
        <v>0</v>
      </c>
      <c r="J54" s="422">
        <v>0</v>
      </c>
      <c r="K54" s="263">
        <v>0</v>
      </c>
      <c r="L54" s="422">
        <v>0</v>
      </c>
      <c r="M54" s="422">
        <v>0</v>
      </c>
      <c r="N54" s="263">
        <v>300</v>
      </c>
      <c r="O54" s="422">
        <v>0</v>
      </c>
      <c r="P54" s="422">
        <v>0</v>
      </c>
      <c r="Q54" s="422">
        <v>0</v>
      </c>
      <c r="R54" s="263">
        <v>0</v>
      </c>
      <c r="S54" s="422">
        <v>0</v>
      </c>
      <c r="T54" s="422">
        <v>0</v>
      </c>
      <c r="U54" s="423">
        <f t="shared" si="0"/>
        <v>300</v>
      </c>
      <c r="V54" s="264"/>
      <c r="W54" s="101"/>
    </row>
    <row r="55" spans="1:23" ht="45" customHeight="1" x14ac:dyDescent="0.2">
      <c r="A55" s="874"/>
      <c r="B55" s="874"/>
      <c r="C55" s="160" t="s">
        <v>486</v>
      </c>
      <c r="D55" s="163" t="s">
        <v>462</v>
      </c>
      <c r="E55" s="160" t="s">
        <v>143</v>
      </c>
      <c r="F55" s="203" t="s">
        <v>463</v>
      </c>
      <c r="G55" s="203">
        <v>2</v>
      </c>
      <c r="H55" s="262">
        <v>200</v>
      </c>
      <c r="I55" s="422">
        <v>0</v>
      </c>
      <c r="J55" s="422">
        <v>0</v>
      </c>
      <c r="K55" s="263">
        <v>200</v>
      </c>
      <c r="L55" s="422">
        <v>0</v>
      </c>
      <c r="M55" s="422">
        <v>0</v>
      </c>
      <c r="N55" s="263">
        <v>0</v>
      </c>
      <c r="O55" s="422">
        <v>0</v>
      </c>
      <c r="P55" s="422">
        <v>0</v>
      </c>
      <c r="Q55" s="422">
        <v>0</v>
      </c>
      <c r="R55" s="263">
        <v>200</v>
      </c>
      <c r="S55" s="422">
        <v>0</v>
      </c>
      <c r="T55" s="422">
        <v>0</v>
      </c>
      <c r="U55" s="423">
        <f t="shared" si="0"/>
        <v>400</v>
      </c>
      <c r="V55" s="264"/>
      <c r="W55" s="101"/>
    </row>
    <row r="56" spans="1:23" ht="45" customHeight="1" x14ac:dyDescent="0.2">
      <c r="A56" s="874"/>
      <c r="B56" s="875"/>
      <c r="C56" s="160" t="s">
        <v>486</v>
      </c>
      <c r="D56" s="160" t="s">
        <v>464</v>
      </c>
      <c r="E56" s="160" t="s">
        <v>254</v>
      </c>
      <c r="F56" s="265" t="s">
        <v>131</v>
      </c>
      <c r="G56" s="265">
        <v>4</v>
      </c>
      <c r="H56" s="268">
        <v>5000</v>
      </c>
      <c r="I56" s="422">
        <v>0</v>
      </c>
      <c r="J56" s="422">
        <v>5000</v>
      </c>
      <c r="K56" s="422">
        <v>0</v>
      </c>
      <c r="L56" s="424">
        <v>0</v>
      </c>
      <c r="M56" s="424">
        <v>5000</v>
      </c>
      <c r="N56" s="424">
        <v>0</v>
      </c>
      <c r="O56" s="424">
        <v>0</v>
      </c>
      <c r="P56" s="424">
        <v>5000</v>
      </c>
      <c r="Q56" s="424">
        <v>0</v>
      </c>
      <c r="R56" s="424">
        <v>0</v>
      </c>
      <c r="S56" s="424">
        <v>5000</v>
      </c>
      <c r="T56" s="424">
        <v>0</v>
      </c>
      <c r="U56" s="423">
        <f t="shared" ref="U56:U76" si="1">SUM(I56:T56)</f>
        <v>20000</v>
      </c>
      <c r="V56" s="266"/>
      <c r="W56" s="101"/>
    </row>
    <row r="57" spans="1:23" ht="83.25" customHeight="1" x14ac:dyDescent="0.2">
      <c r="A57" s="875"/>
      <c r="B57" s="159" t="s">
        <v>1128</v>
      </c>
      <c r="C57" s="160" t="s">
        <v>50</v>
      </c>
      <c r="D57" s="203" t="s">
        <v>68</v>
      </c>
      <c r="E57" s="203" t="s">
        <v>69</v>
      </c>
      <c r="F57" s="203" t="s">
        <v>322</v>
      </c>
      <c r="G57" s="203">
        <v>3</v>
      </c>
      <c r="H57" s="262">
        <v>1500</v>
      </c>
      <c r="I57" s="544">
        <v>0</v>
      </c>
      <c r="J57" s="544">
        <v>0</v>
      </c>
      <c r="K57" s="545">
        <v>4500</v>
      </c>
      <c r="L57" s="544">
        <v>0</v>
      </c>
      <c r="M57" s="544">
        <v>0</v>
      </c>
      <c r="N57" s="545">
        <v>4500</v>
      </c>
      <c r="O57" s="544">
        <v>0</v>
      </c>
      <c r="P57" s="544">
        <v>0</v>
      </c>
      <c r="Q57" s="545">
        <v>4500</v>
      </c>
      <c r="R57" s="544">
        <v>0</v>
      </c>
      <c r="S57" s="544">
        <v>0</v>
      </c>
      <c r="T57" s="545">
        <v>4500</v>
      </c>
      <c r="U57" s="546">
        <f t="shared" si="1"/>
        <v>18000</v>
      </c>
      <c r="V57" s="264"/>
      <c r="W57" s="101"/>
    </row>
    <row r="58" spans="1:23" ht="45" customHeight="1" x14ac:dyDescent="0.2">
      <c r="A58" s="977" t="s">
        <v>1107</v>
      </c>
      <c r="B58" s="977" t="s">
        <v>1129</v>
      </c>
      <c r="C58" s="547" t="s">
        <v>50</v>
      </c>
      <c r="D58" s="548" t="s">
        <v>326</v>
      </c>
      <c r="E58" s="548" t="s">
        <v>327</v>
      </c>
      <c r="F58" s="548" t="s">
        <v>322</v>
      </c>
      <c r="G58" s="548">
        <v>3</v>
      </c>
      <c r="H58" s="549">
        <v>600</v>
      </c>
      <c r="I58" s="550">
        <v>0</v>
      </c>
      <c r="J58" s="550">
        <v>0</v>
      </c>
      <c r="K58" s="551">
        <v>1800</v>
      </c>
      <c r="L58" s="550">
        <v>0</v>
      </c>
      <c r="M58" s="550">
        <v>0</v>
      </c>
      <c r="N58" s="551">
        <v>1800</v>
      </c>
      <c r="O58" s="550">
        <v>0</v>
      </c>
      <c r="P58" s="550">
        <v>0</v>
      </c>
      <c r="Q58" s="551">
        <v>1800</v>
      </c>
      <c r="R58" s="550">
        <v>0</v>
      </c>
      <c r="S58" s="550">
        <v>0</v>
      </c>
      <c r="T58" s="551">
        <v>1800</v>
      </c>
      <c r="U58" s="552">
        <f t="shared" si="1"/>
        <v>7200</v>
      </c>
      <c r="V58" s="553"/>
      <c r="W58" s="101"/>
    </row>
    <row r="59" spans="1:23" ht="61.5" customHeight="1" x14ac:dyDescent="0.2">
      <c r="A59" s="978"/>
      <c r="B59" s="978"/>
      <c r="C59" s="554" t="s">
        <v>486</v>
      </c>
      <c r="D59" s="548" t="s">
        <v>246</v>
      </c>
      <c r="E59" s="548" t="s">
        <v>238</v>
      </c>
      <c r="F59" s="548" t="s">
        <v>465</v>
      </c>
      <c r="G59" s="548">
        <v>4</v>
      </c>
      <c r="H59" s="549">
        <v>20000</v>
      </c>
      <c r="I59" s="550">
        <v>0</v>
      </c>
      <c r="J59" s="550">
        <v>0</v>
      </c>
      <c r="K59" s="549">
        <v>20000</v>
      </c>
      <c r="L59" s="550">
        <v>0</v>
      </c>
      <c r="M59" s="550">
        <v>0</v>
      </c>
      <c r="N59" s="549">
        <v>20000</v>
      </c>
      <c r="O59" s="550">
        <v>0</v>
      </c>
      <c r="P59" s="550">
        <v>0</v>
      </c>
      <c r="Q59" s="549">
        <v>10000</v>
      </c>
      <c r="R59" s="550">
        <v>0</v>
      </c>
      <c r="S59" s="550">
        <v>0</v>
      </c>
      <c r="T59" s="549">
        <v>10000</v>
      </c>
      <c r="U59" s="552">
        <f t="shared" si="1"/>
        <v>60000</v>
      </c>
      <c r="V59" s="553"/>
      <c r="W59" s="101"/>
    </row>
    <row r="60" spans="1:23" ht="57.75" customHeight="1" x14ac:dyDescent="0.2">
      <c r="A60" s="978"/>
      <c r="B60" s="978"/>
      <c r="C60" s="547" t="s">
        <v>486</v>
      </c>
      <c r="D60" s="547" t="s">
        <v>466</v>
      </c>
      <c r="E60" s="547" t="s">
        <v>881</v>
      </c>
      <c r="F60" s="548" t="s">
        <v>131</v>
      </c>
      <c r="G60" s="548">
        <v>1</v>
      </c>
      <c r="H60" s="549">
        <v>6000</v>
      </c>
      <c r="I60" s="550">
        <v>0</v>
      </c>
      <c r="J60" s="550">
        <v>0</v>
      </c>
      <c r="K60" s="556">
        <v>6000</v>
      </c>
      <c r="L60" s="550">
        <v>0</v>
      </c>
      <c r="M60" s="550">
        <v>0</v>
      </c>
      <c r="N60" s="550">
        <v>0</v>
      </c>
      <c r="O60" s="550">
        <v>0</v>
      </c>
      <c r="P60" s="550">
        <v>0</v>
      </c>
      <c r="Q60" s="550">
        <v>0</v>
      </c>
      <c r="R60" s="550">
        <v>0</v>
      </c>
      <c r="S60" s="550">
        <v>0</v>
      </c>
      <c r="T60" s="550">
        <v>0</v>
      </c>
      <c r="U60" s="552">
        <f t="shared" si="1"/>
        <v>6000</v>
      </c>
      <c r="V60" s="553"/>
      <c r="W60" s="101"/>
    </row>
    <row r="61" spans="1:23" ht="75" x14ac:dyDescent="0.2">
      <c r="A61" s="978"/>
      <c r="B61" s="978"/>
      <c r="C61" s="547" t="s">
        <v>486</v>
      </c>
      <c r="D61" s="554" t="s">
        <v>467</v>
      </c>
      <c r="E61" s="548" t="s">
        <v>143</v>
      </c>
      <c r="F61" s="548" t="s">
        <v>131</v>
      </c>
      <c r="G61" s="548">
        <v>1</v>
      </c>
      <c r="H61" s="549">
        <v>6000</v>
      </c>
      <c r="I61" s="550">
        <v>0</v>
      </c>
      <c r="J61" s="550">
        <v>0</v>
      </c>
      <c r="K61" s="550">
        <v>6000</v>
      </c>
      <c r="L61" s="550">
        <v>5000</v>
      </c>
      <c r="M61" s="550">
        <v>0</v>
      </c>
      <c r="N61" s="550">
        <v>0</v>
      </c>
      <c r="O61" s="550">
        <v>0</v>
      </c>
      <c r="P61" s="550">
        <v>0</v>
      </c>
      <c r="Q61" s="550">
        <v>0</v>
      </c>
      <c r="R61" s="550">
        <v>0</v>
      </c>
      <c r="S61" s="550">
        <v>0</v>
      </c>
      <c r="T61" s="550">
        <v>0</v>
      </c>
      <c r="U61" s="552">
        <f t="shared" si="1"/>
        <v>11000</v>
      </c>
      <c r="V61" s="553"/>
      <c r="W61" s="101"/>
    </row>
    <row r="62" spans="1:23" s="271" customFormat="1" ht="54.75" customHeight="1" x14ac:dyDescent="0.2">
      <c r="A62" s="978"/>
      <c r="B62" s="978"/>
      <c r="C62" s="547" t="s">
        <v>486</v>
      </c>
      <c r="D62" s="547" t="s">
        <v>468</v>
      </c>
      <c r="E62" s="548" t="s">
        <v>143</v>
      </c>
      <c r="F62" s="548" t="s">
        <v>131</v>
      </c>
      <c r="G62" s="548">
        <v>1</v>
      </c>
      <c r="H62" s="549">
        <v>6000</v>
      </c>
      <c r="I62" s="550">
        <v>0</v>
      </c>
      <c r="J62" s="550">
        <v>0</v>
      </c>
      <c r="K62" s="550">
        <v>0</v>
      </c>
      <c r="L62" s="550">
        <v>6000</v>
      </c>
      <c r="M62" s="550">
        <v>0</v>
      </c>
      <c r="N62" s="550">
        <v>0</v>
      </c>
      <c r="O62" s="550">
        <v>0</v>
      </c>
      <c r="P62" s="550">
        <v>0</v>
      </c>
      <c r="Q62" s="550">
        <v>0</v>
      </c>
      <c r="R62" s="550">
        <v>0</v>
      </c>
      <c r="S62" s="550">
        <v>0</v>
      </c>
      <c r="T62" s="550">
        <v>0</v>
      </c>
      <c r="U62" s="552">
        <f t="shared" si="1"/>
        <v>6000</v>
      </c>
      <c r="V62" s="553"/>
      <c r="W62" s="270"/>
    </row>
    <row r="63" spans="1:23" ht="42.75" customHeight="1" x14ac:dyDescent="0.2">
      <c r="A63" s="978"/>
      <c r="B63" s="978"/>
      <c r="C63" s="547" t="s">
        <v>50</v>
      </c>
      <c r="D63" s="547" t="s">
        <v>469</v>
      </c>
      <c r="E63" s="548" t="s">
        <v>143</v>
      </c>
      <c r="F63" s="548" t="s">
        <v>131</v>
      </c>
      <c r="G63" s="548">
        <v>1</v>
      </c>
      <c r="H63" s="549">
        <v>6000</v>
      </c>
      <c r="I63" s="550"/>
      <c r="J63" s="550"/>
      <c r="K63" s="550"/>
      <c r="L63" s="557">
        <v>6000</v>
      </c>
      <c r="M63" s="550"/>
      <c r="N63" s="550"/>
      <c r="O63" s="550"/>
      <c r="P63" s="550"/>
      <c r="Q63" s="550"/>
      <c r="R63" s="550"/>
      <c r="S63" s="550"/>
      <c r="T63" s="550"/>
      <c r="U63" s="552">
        <f t="shared" si="1"/>
        <v>6000</v>
      </c>
      <c r="V63" s="553"/>
      <c r="W63" s="101"/>
    </row>
    <row r="64" spans="1:23" ht="57.75" customHeight="1" x14ac:dyDescent="0.2">
      <c r="A64" s="978"/>
      <c r="B64" s="978"/>
      <c r="C64" s="554" t="s">
        <v>486</v>
      </c>
      <c r="D64" s="548" t="s">
        <v>470</v>
      </c>
      <c r="E64" s="548" t="s">
        <v>52</v>
      </c>
      <c r="F64" s="548" t="s">
        <v>131</v>
      </c>
      <c r="G64" s="548">
        <v>200</v>
      </c>
      <c r="H64" s="549">
        <v>80</v>
      </c>
      <c r="I64" s="550">
        <v>0</v>
      </c>
      <c r="J64" s="550">
        <v>0</v>
      </c>
      <c r="K64" s="550">
        <v>0</v>
      </c>
      <c r="L64" s="550">
        <v>8000</v>
      </c>
      <c r="M64" s="550">
        <v>0</v>
      </c>
      <c r="N64" s="550">
        <v>0</v>
      </c>
      <c r="O64" s="550">
        <v>0</v>
      </c>
      <c r="P64" s="550">
        <v>0</v>
      </c>
      <c r="Q64" s="550">
        <v>0</v>
      </c>
      <c r="R64" s="550">
        <v>8000</v>
      </c>
      <c r="S64" s="550">
        <v>0</v>
      </c>
      <c r="T64" s="550">
        <v>0</v>
      </c>
      <c r="U64" s="552">
        <f t="shared" si="1"/>
        <v>16000</v>
      </c>
      <c r="V64" s="553"/>
      <c r="W64" s="101"/>
    </row>
    <row r="65" spans="1:23" ht="45" x14ac:dyDescent="0.2">
      <c r="A65" s="978"/>
      <c r="B65" s="978"/>
      <c r="C65" s="554" t="s">
        <v>486</v>
      </c>
      <c r="D65" s="548" t="s">
        <v>471</v>
      </c>
      <c r="E65" s="548" t="s">
        <v>780</v>
      </c>
      <c r="F65" s="548" t="s">
        <v>131</v>
      </c>
      <c r="G65" s="548">
        <v>200</v>
      </c>
      <c r="H65" s="549">
        <v>60</v>
      </c>
      <c r="I65" s="550">
        <v>0</v>
      </c>
      <c r="J65" s="550">
        <v>0</v>
      </c>
      <c r="K65" s="550">
        <v>0</v>
      </c>
      <c r="L65" s="550">
        <v>6000</v>
      </c>
      <c r="M65" s="550">
        <v>0</v>
      </c>
      <c r="N65" s="550">
        <v>0</v>
      </c>
      <c r="O65" s="550">
        <v>0</v>
      </c>
      <c r="P65" s="550">
        <v>0</v>
      </c>
      <c r="Q65" s="550">
        <v>0</v>
      </c>
      <c r="R65" s="550">
        <v>6000</v>
      </c>
      <c r="S65" s="550">
        <v>0</v>
      </c>
      <c r="T65" s="550">
        <v>0</v>
      </c>
      <c r="U65" s="552">
        <f t="shared" si="1"/>
        <v>12000</v>
      </c>
      <c r="V65" s="553"/>
      <c r="W65" s="101"/>
    </row>
    <row r="66" spans="1:23" ht="105.75" customHeight="1" x14ac:dyDescent="0.2">
      <c r="A66" s="978"/>
      <c r="B66" s="978"/>
      <c r="C66" s="547" t="s">
        <v>486</v>
      </c>
      <c r="D66" s="548" t="s">
        <v>472</v>
      </c>
      <c r="E66" s="548" t="s">
        <v>254</v>
      </c>
      <c r="F66" s="548" t="s">
        <v>131</v>
      </c>
      <c r="G66" s="548">
        <v>100</v>
      </c>
      <c r="H66" s="549">
        <v>120</v>
      </c>
      <c r="I66" s="550">
        <v>0</v>
      </c>
      <c r="J66" s="550">
        <v>0</v>
      </c>
      <c r="K66" s="550">
        <v>0</v>
      </c>
      <c r="L66" s="550">
        <f>50*120</f>
        <v>6000</v>
      </c>
      <c r="M66" s="550">
        <v>0</v>
      </c>
      <c r="N66" s="550">
        <v>0</v>
      </c>
      <c r="O66" s="550">
        <v>0</v>
      </c>
      <c r="P66" s="550">
        <v>0</v>
      </c>
      <c r="Q66" s="550">
        <v>0</v>
      </c>
      <c r="R66" s="550">
        <f>50*120</f>
        <v>6000</v>
      </c>
      <c r="S66" s="550">
        <v>0</v>
      </c>
      <c r="T66" s="550">
        <v>0</v>
      </c>
      <c r="U66" s="552">
        <f t="shared" si="1"/>
        <v>12000</v>
      </c>
      <c r="V66" s="558" t="s">
        <v>641</v>
      </c>
      <c r="W66" s="101"/>
    </row>
    <row r="67" spans="1:23" ht="105.75" customHeight="1" x14ac:dyDescent="0.2">
      <c r="A67" s="978"/>
      <c r="B67" s="978"/>
      <c r="C67" s="547" t="s">
        <v>486</v>
      </c>
      <c r="D67" s="548" t="s">
        <v>473</v>
      </c>
      <c r="E67" s="548" t="s">
        <v>254</v>
      </c>
      <c r="F67" s="548" t="s">
        <v>131</v>
      </c>
      <c r="G67" s="548">
        <v>99</v>
      </c>
      <c r="H67" s="549">
        <v>100</v>
      </c>
      <c r="I67" s="550">
        <v>0</v>
      </c>
      <c r="J67" s="550">
        <v>0</v>
      </c>
      <c r="K67" s="550">
        <v>0</v>
      </c>
      <c r="L67" s="550">
        <f>50*100</f>
        <v>5000</v>
      </c>
      <c r="M67" s="550">
        <v>0</v>
      </c>
      <c r="N67" s="550">
        <v>0</v>
      </c>
      <c r="O67" s="550">
        <v>0</v>
      </c>
      <c r="P67" s="550">
        <v>0</v>
      </c>
      <c r="Q67" s="550">
        <v>0</v>
      </c>
      <c r="R67" s="550">
        <f>100*49</f>
        <v>4900</v>
      </c>
      <c r="S67" s="550">
        <v>0</v>
      </c>
      <c r="T67" s="550">
        <v>0</v>
      </c>
      <c r="U67" s="552">
        <f t="shared" si="1"/>
        <v>9900</v>
      </c>
      <c r="V67" s="558" t="s">
        <v>641</v>
      </c>
      <c r="W67" s="101"/>
    </row>
    <row r="68" spans="1:23" ht="105.75" customHeight="1" x14ac:dyDescent="0.2">
      <c r="A68" s="978"/>
      <c r="B68" s="978"/>
      <c r="C68" s="547" t="s">
        <v>486</v>
      </c>
      <c r="D68" s="548" t="s">
        <v>474</v>
      </c>
      <c r="E68" s="548" t="s">
        <v>254</v>
      </c>
      <c r="F68" s="548" t="s">
        <v>131</v>
      </c>
      <c r="G68" s="548">
        <v>10</v>
      </c>
      <c r="H68" s="549">
        <v>3000</v>
      </c>
      <c r="I68" s="550">
        <v>0</v>
      </c>
      <c r="J68" s="550">
        <v>0</v>
      </c>
      <c r="K68" s="550">
        <v>0</v>
      </c>
      <c r="L68" s="550">
        <f>5*3000</f>
        <v>15000</v>
      </c>
      <c r="M68" s="550">
        <v>0</v>
      </c>
      <c r="N68" s="550">
        <v>0</v>
      </c>
      <c r="O68" s="550">
        <v>0</v>
      </c>
      <c r="P68" s="550">
        <v>0</v>
      </c>
      <c r="Q68" s="550">
        <v>0</v>
      </c>
      <c r="R68" s="550">
        <f>5*3000</f>
        <v>15000</v>
      </c>
      <c r="S68" s="550">
        <v>0</v>
      </c>
      <c r="T68" s="550">
        <v>0</v>
      </c>
      <c r="U68" s="552">
        <f t="shared" si="1"/>
        <v>30000</v>
      </c>
      <c r="V68" s="558" t="s">
        <v>641</v>
      </c>
      <c r="W68" s="101"/>
    </row>
    <row r="69" spans="1:23" ht="90.75" customHeight="1" x14ac:dyDescent="0.2">
      <c r="A69" s="978"/>
      <c r="B69" s="978"/>
      <c r="C69" s="547" t="s">
        <v>486</v>
      </c>
      <c r="D69" s="548" t="s">
        <v>475</v>
      </c>
      <c r="E69" s="548" t="s">
        <v>780</v>
      </c>
      <c r="F69" s="548" t="s">
        <v>131</v>
      </c>
      <c r="G69" s="548">
        <v>100</v>
      </c>
      <c r="H69" s="549">
        <v>200</v>
      </c>
      <c r="I69" s="550">
        <v>0</v>
      </c>
      <c r="J69" s="550">
        <v>0</v>
      </c>
      <c r="K69" s="550">
        <v>0</v>
      </c>
      <c r="L69" s="550">
        <v>10000</v>
      </c>
      <c r="M69" s="550">
        <v>0</v>
      </c>
      <c r="N69" s="550">
        <v>0</v>
      </c>
      <c r="O69" s="550">
        <v>0</v>
      </c>
      <c r="P69" s="550">
        <v>0</v>
      </c>
      <c r="Q69" s="550">
        <v>0</v>
      </c>
      <c r="R69" s="550">
        <v>10000</v>
      </c>
      <c r="S69" s="550">
        <v>0</v>
      </c>
      <c r="T69" s="550">
        <v>0</v>
      </c>
      <c r="U69" s="552">
        <f t="shared" si="1"/>
        <v>20000</v>
      </c>
      <c r="V69" s="553"/>
      <c r="W69" s="101"/>
    </row>
    <row r="70" spans="1:23" ht="90.75" customHeight="1" x14ac:dyDescent="0.2">
      <c r="A70" s="978"/>
      <c r="B70" s="978"/>
      <c r="C70" s="547" t="s">
        <v>486</v>
      </c>
      <c r="D70" s="548" t="s">
        <v>476</v>
      </c>
      <c r="E70" s="548" t="s">
        <v>780</v>
      </c>
      <c r="F70" s="548" t="s">
        <v>131</v>
      </c>
      <c r="G70" s="548">
        <v>100</v>
      </c>
      <c r="H70" s="549">
        <v>80</v>
      </c>
      <c r="I70" s="550">
        <v>0</v>
      </c>
      <c r="J70" s="550">
        <v>0</v>
      </c>
      <c r="K70" s="550">
        <v>0</v>
      </c>
      <c r="L70" s="550">
        <v>4000</v>
      </c>
      <c r="M70" s="550">
        <v>0</v>
      </c>
      <c r="N70" s="550">
        <v>0</v>
      </c>
      <c r="O70" s="550">
        <v>0</v>
      </c>
      <c r="P70" s="550">
        <v>0</v>
      </c>
      <c r="Q70" s="550">
        <v>0</v>
      </c>
      <c r="R70" s="550">
        <v>4000</v>
      </c>
      <c r="S70" s="550">
        <v>0</v>
      </c>
      <c r="T70" s="550">
        <v>0</v>
      </c>
      <c r="U70" s="552">
        <f t="shared" si="1"/>
        <v>8000</v>
      </c>
      <c r="V70" s="553"/>
      <c r="W70" s="101"/>
    </row>
    <row r="71" spans="1:23" ht="59.25" customHeight="1" x14ac:dyDescent="0.2">
      <c r="A71" s="978"/>
      <c r="B71" s="978"/>
      <c r="C71" s="547" t="s">
        <v>486</v>
      </c>
      <c r="D71" s="548" t="s">
        <v>477</v>
      </c>
      <c r="E71" s="548" t="s">
        <v>52</v>
      </c>
      <c r="F71" s="548" t="s">
        <v>131</v>
      </c>
      <c r="G71" s="548">
        <v>200</v>
      </c>
      <c r="H71" s="549">
        <v>50</v>
      </c>
      <c r="I71" s="550">
        <v>0</v>
      </c>
      <c r="J71" s="550">
        <v>0</v>
      </c>
      <c r="K71" s="550">
        <v>0</v>
      </c>
      <c r="L71" s="550">
        <f>50*100</f>
        <v>5000</v>
      </c>
      <c r="M71" s="550">
        <v>0</v>
      </c>
      <c r="N71" s="550">
        <v>0</v>
      </c>
      <c r="O71" s="550">
        <v>0</v>
      </c>
      <c r="P71" s="550">
        <v>0</v>
      </c>
      <c r="Q71" s="550">
        <v>0</v>
      </c>
      <c r="R71" s="550">
        <f>50*100</f>
        <v>5000</v>
      </c>
      <c r="S71" s="550">
        <v>0</v>
      </c>
      <c r="T71" s="550">
        <v>0</v>
      </c>
      <c r="U71" s="552">
        <f t="shared" si="1"/>
        <v>10000</v>
      </c>
      <c r="V71" s="553"/>
      <c r="W71" s="101"/>
    </row>
    <row r="72" spans="1:23" ht="59.25" customHeight="1" x14ac:dyDescent="0.2">
      <c r="A72" s="978"/>
      <c r="B72" s="978"/>
      <c r="C72" s="547" t="s">
        <v>486</v>
      </c>
      <c r="D72" s="548" t="s">
        <v>478</v>
      </c>
      <c r="E72" s="548" t="s">
        <v>143</v>
      </c>
      <c r="F72" s="548" t="s">
        <v>131</v>
      </c>
      <c r="G72" s="548">
        <v>100</v>
      </c>
      <c r="H72" s="549">
        <v>250</v>
      </c>
      <c r="I72" s="550">
        <v>0</v>
      </c>
      <c r="J72" s="550">
        <v>0</v>
      </c>
      <c r="K72" s="550">
        <v>0</v>
      </c>
      <c r="L72" s="550">
        <v>12500</v>
      </c>
      <c r="M72" s="550">
        <v>0</v>
      </c>
      <c r="N72" s="550">
        <v>0</v>
      </c>
      <c r="O72" s="550">
        <v>0</v>
      </c>
      <c r="P72" s="550">
        <v>0</v>
      </c>
      <c r="Q72" s="550">
        <v>0</v>
      </c>
      <c r="R72" s="550">
        <v>12500</v>
      </c>
      <c r="S72" s="550">
        <v>0</v>
      </c>
      <c r="T72" s="550">
        <v>0</v>
      </c>
      <c r="U72" s="552">
        <f t="shared" si="1"/>
        <v>25000</v>
      </c>
      <c r="V72" s="553"/>
      <c r="W72" s="101"/>
    </row>
    <row r="73" spans="1:23" ht="59.25" customHeight="1" x14ac:dyDescent="0.2">
      <c r="A73" s="978"/>
      <c r="B73" s="978"/>
      <c r="C73" s="547" t="s">
        <v>486</v>
      </c>
      <c r="D73" s="547" t="s">
        <v>479</v>
      </c>
      <c r="E73" s="547" t="s">
        <v>143</v>
      </c>
      <c r="F73" s="548" t="s">
        <v>131</v>
      </c>
      <c r="G73" s="548">
        <v>1</v>
      </c>
      <c r="H73" s="559">
        <v>10000</v>
      </c>
      <c r="I73" s="550">
        <v>0</v>
      </c>
      <c r="J73" s="550">
        <v>0</v>
      </c>
      <c r="K73" s="550">
        <v>0</v>
      </c>
      <c r="L73" s="550">
        <v>0</v>
      </c>
      <c r="M73" s="550">
        <v>0</v>
      </c>
      <c r="N73" s="550">
        <v>0</v>
      </c>
      <c r="O73" s="550">
        <v>0</v>
      </c>
      <c r="P73" s="550">
        <v>10000</v>
      </c>
      <c r="Q73" s="550">
        <v>0</v>
      </c>
      <c r="R73" s="550">
        <v>0</v>
      </c>
      <c r="S73" s="550">
        <v>0</v>
      </c>
      <c r="T73" s="550">
        <v>0</v>
      </c>
      <c r="U73" s="550">
        <f t="shared" si="1"/>
        <v>10000</v>
      </c>
      <c r="V73" s="553"/>
      <c r="W73" s="101"/>
    </row>
    <row r="74" spans="1:23" ht="60" x14ac:dyDescent="0.2">
      <c r="A74" s="979"/>
      <c r="B74" s="979"/>
      <c r="C74" s="560"/>
      <c r="D74" s="547" t="s">
        <v>480</v>
      </c>
      <c r="E74" s="548" t="s">
        <v>254</v>
      </c>
      <c r="F74" s="548" t="s">
        <v>131</v>
      </c>
      <c r="G74" s="548">
        <v>30000</v>
      </c>
      <c r="H74" s="559">
        <v>3</v>
      </c>
      <c r="I74" s="550">
        <v>0</v>
      </c>
      <c r="J74" s="550">
        <v>0</v>
      </c>
      <c r="K74" s="550">
        <v>0</v>
      </c>
      <c r="L74" s="550">
        <v>0</v>
      </c>
      <c r="M74" s="550">
        <v>0</v>
      </c>
      <c r="N74" s="550">
        <v>0</v>
      </c>
      <c r="O74" s="550">
        <v>0</v>
      </c>
      <c r="P74" s="550">
        <v>0</v>
      </c>
      <c r="Q74" s="550">
        <v>0</v>
      </c>
      <c r="R74" s="550">
        <v>0</v>
      </c>
      <c r="S74" s="550">
        <v>0</v>
      </c>
      <c r="T74" s="550">
        <v>0</v>
      </c>
      <c r="U74" s="552">
        <f t="shared" si="1"/>
        <v>0</v>
      </c>
      <c r="V74" s="561" t="s">
        <v>641</v>
      </c>
      <c r="W74" s="101"/>
    </row>
    <row r="75" spans="1:23" ht="57.75" customHeight="1" x14ac:dyDescent="0.2">
      <c r="A75" s="143" t="s">
        <v>998</v>
      </c>
      <c r="B75" s="149" t="s">
        <v>999</v>
      </c>
      <c r="C75" s="135" t="s">
        <v>50</v>
      </c>
      <c r="D75" s="160" t="s">
        <v>479</v>
      </c>
      <c r="E75" s="160" t="s">
        <v>143</v>
      </c>
      <c r="F75" s="203" t="s">
        <v>131</v>
      </c>
      <c r="G75" s="203">
        <v>1</v>
      </c>
      <c r="H75" s="268">
        <v>10000</v>
      </c>
      <c r="I75" s="263">
        <v>0</v>
      </c>
      <c r="J75" s="263">
        <v>0</v>
      </c>
      <c r="K75" s="263">
        <v>0</v>
      </c>
      <c r="L75" s="263">
        <v>0</v>
      </c>
      <c r="M75" s="263">
        <v>0</v>
      </c>
      <c r="N75" s="263">
        <v>0</v>
      </c>
      <c r="O75" s="263">
        <v>0</v>
      </c>
      <c r="P75" s="263">
        <v>10000</v>
      </c>
      <c r="Q75" s="263">
        <v>0</v>
      </c>
      <c r="R75" s="263">
        <v>0</v>
      </c>
      <c r="S75" s="263">
        <v>0</v>
      </c>
      <c r="T75" s="263">
        <v>0</v>
      </c>
      <c r="U75" s="263">
        <f t="shared" si="1"/>
        <v>10000</v>
      </c>
      <c r="V75" s="264"/>
      <c r="W75" s="101"/>
    </row>
    <row r="76" spans="1:23" ht="60" x14ac:dyDescent="0.2">
      <c r="A76" s="555" t="s">
        <v>1000</v>
      </c>
      <c r="B76" s="555" t="s">
        <v>1001</v>
      </c>
      <c r="C76" s="563"/>
      <c r="D76" s="547" t="s">
        <v>480</v>
      </c>
      <c r="E76" s="548" t="s">
        <v>254</v>
      </c>
      <c r="F76" s="548" t="s">
        <v>131</v>
      </c>
      <c r="G76" s="548">
        <v>30000</v>
      </c>
      <c r="H76" s="559">
        <v>3</v>
      </c>
      <c r="I76" s="550">
        <v>0</v>
      </c>
      <c r="J76" s="550">
        <v>0</v>
      </c>
      <c r="K76" s="550">
        <v>0</v>
      </c>
      <c r="L76" s="550">
        <v>0</v>
      </c>
      <c r="M76" s="550">
        <v>0</v>
      </c>
      <c r="N76" s="550">
        <v>0</v>
      </c>
      <c r="O76" s="550">
        <v>0</v>
      </c>
      <c r="P76" s="550">
        <v>0</v>
      </c>
      <c r="Q76" s="550">
        <v>0</v>
      </c>
      <c r="R76" s="550">
        <v>0</v>
      </c>
      <c r="S76" s="550">
        <v>0</v>
      </c>
      <c r="T76" s="550">
        <v>0</v>
      </c>
      <c r="U76" s="552">
        <f t="shared" si="1"/>
        <v>0</v>
      </c>
      <c r="V76" s="561" t="s">
        <v>641</v>
      </c>
      <c r="W76" s="101"/>
    </row>
    <row r="77" spans="1:23" s="56" customFormat="1" ht="18.75" customHeight="1" x14ac:dyDescent="0.2">
      <c r="A77" s="536" t="s">
        <v>481</v>
      </c>
      <c r="B77" s="537"/>
      <c r="C77" s="537"/>
      <c r="D77" s="537"/>
      <c r="E77" s="537"/>
      <c r="F77" s="537"/>
      <c r="G77" s="537"/>
      <c r="H77" s="537"/>
      <c r="I77" s="269">
        <f t="shared" ref="I77:T77" si="2">SUM(I24:I74)</f>
        <v>0</v>
      </c>
      <c r="J77" s="269">
        <f t="shared" si="2"/>
        <v>5000</v>
      </c>
      <c r="K77" s="269">
        <f t="shared" si="2"/>
        <v>133600</v>
      </c>
      <c r="L77" s="269">
        <f t="shared" si="2"/>
        <v>144200</v>
      </c>
      <c r="M77" s="269">
        <f t="shared" si="2"/>
        <v>8000</v>
      </c>
      <c r="N77" s="269">
        <f t="shared" si="2"/>
        <v>142900</v>
      </c>
      <c r="O77" s="269">
        <f t="shared" si="2"/>
        <v>46300</v>
      </c>
      <c r="P77" s="269">
        <f t="shared" si="2"/>
        <v>48000</v>
      </c>
      <c r="Q77" s="269">
        <f t="shared" si="2"/>
        <v>37550</v>
      </c>
      <c r="R77" s="269">
        <f t="shared" si="2"/>
        <v>94750</v>
      </c>
      <c r="S77" s="269">
        <f t="shared" si="2"/>
        <v>8000</v>
      </c>
      <c r="T77" s="269">
        <f t="shared" si="2"/>
        <v>37550</v>
      </c>
      <c r="U77" s="269">
        <f>SUM(U24:U76)</f>
        <v>715850</v>
      </c>
      <c r="V77" s="123"/>
      <c r="W77" s="101"/>
    </row>
    <row r="78" spans="1:23" ht="15" x14ac:dyDescent="0.2">
      <c r="A78" s="101"/>
      <c r="B78" s="101"/>
      <c r="C78" s="258"/>
      <c r="D78" s="101"/>
      <c r="E78" s="101"/>
      <c r="F78" s="101"/>
      <c r="G78" s="101"/>
      <c r="H78" s="128"/>
      <c r="I78" s="101"/>
      <c r="J78" s="101"/>
      <c r="K78" s="101"/>
      <c r="L78" s="101"/>
      <c r="M78" s="101"/>
      <c r="N78" s="101"/>
      <c r="O78" s="101"/>
      <c r="P78" s="101"/>
      <c r="Q78" s="101"/>
      <c r="R78" s="101"/>
      <c r="S78" s="101"/>
      <c r="T78" s="101"/>
      <c r="U78" s="101"/>
      <c r="V78" s="101"/>
      <c r="W78" s="101"/>
    </row>
    <row r="79" spans="1:23" ht="15" x14ac:dyDescent="0.2">
      <c r="A79" s="101"/>
      <c r="B79" s="101"/>
      <c r="C79" s="258"/>
      <c r="D79" s="101"/>
      <c r="E79" s="101"/>
      <c r="F79" s="101"/>
      <c r="G79" s="101"/>
      <c r="H79" s="128"/>
      <c r="I79" s="101"/>
      <c r="J79" s="101"/>
      <c r="K79" s="101"/>
      <c r="L79" s="101"/>
      <c r="M79" s="101"/>
      <c r="N79" s="101"/>
      <c r="O79" s="101"/>
      <c r="P79" s="101"/>
      <c r="Q79" s="101"/>
      <c r="R79" s="101"/>
      <c r="S79" s="101"/>
      <c r="T79" s="101"/>
      <c r="U79" s="101"/>
      <c r="V79" s="101"/>
      <c r="W79" s="101"/>
    </row>
    <row r="80" spans="1:23" ht="15" x14ac:dyDescent="0.2">
      <c r="A80" s="101"/>
      <c r="B80" s="101"/>
      <c r="C80" s="258"/>
      <c r="D80" s="101"/>
      <c r="E80" s="101"/>
      <c r="F80" s="101"/>
      <c r="G80" s="101"/>
      <c r="H80" s="128"/>
      <c r="I80" s="101"/>
      <c r="J80" s="101"/>
      <c r="K80" s="101"/>
      <c r="L80" s="101"/>
      <c r="M80" s="101"/>
      <c r="N80" s="101"/>
      <c r="O80" s="101"/>
      <c r="P80" s="101"/>
      <c r="Q80" s="101"/>
      <c r="R80" s="101"/>
      <c r="S80" s="101"/>
      <c r="T80" s="101"/>
      <c r="U80" s="101"/>
      <c r="V80" s="101"/>
    </row>
    <row r="81" spans="1:22" ht="15" x14ac:dyDescent="0.2">
      <c r="A81" s="101"/>
      <c r="B81" s="101"/>
      <c r="C81" s="258"/>
      <c r="D81" s="101"/>
      <c r="E81" s="101"/>
      <c r="F81" s="101"/>
      <c r="G81" s="101"/>
      <c r="H81" s="128"/>
      <c r="I81" s="101"/>
      <c r="J81" s="101"/>
      <c r="K81" s="101"/>
      <c r="L81" s="101"/>
      <c r="M81" s="101"/>
      <c r="N81" s="101"/>
      <c r="O81" s="101"/>
      <c r="P81" s="101"/>
      <c r="Q81" s="101"/>
      <c r="R81" s="101"/>
      <c r="S81" s="101"/>
      <c r="T81" s="101"/>
      <c r="U81" s="101"/>
      <c r="V81" s="101"/>
    </row>
    <row r="82" spans="1:22" ht="15" x14ac:dyDescent="0.2">
      <c r="A82" s="101"/>
      <c r="B82" s="101"/>
      <c r="C82" s="103"/>
      <c r="D82" s="103"/>
      <c r="E82" s="101"/>
      <c r="F82" s="101"/>
      <c r="G82" s="126"/>
      <c r="H82" s="128"/>
      <c r="I82" s="128"/>
      <c r="J82" s="128"/>
      <c r="K82" s="128"/>
      <c r="L82" s="128"/>
      <c r="M82" s="128"/>
      <c r="N82" s="128"/>
      <c r="O82" s="101"/>
      <c r="P82" s="101"/>
      <c r="Q82" s="101"/>
      <c r="R82" s="101"/>
      <c r="S82" s="101"/>
      <c r="T82" s="101"/>
      <c r="U82" s="101"/>
      <c r="V82" s="101"/>
    </row>
    <row r="83" spans="1:22" ht="15" x14ac:dyDescent="0.2">
      <c r="A83" s="101"/>
      <c r="B83" s="101"/>
      <c r="C83" s="534"/>
      <c r="D83" s="534"/>
      <c r="E83" s="101"/>
      <c r="F83" s="101"/>
      <c r="G83" s="128"/>
      <c r="H83" s="128"/>
      <c r="I83" s="101"/>
      <c r="J83" s="101"/>
      <c r="K83" s="101"/>
      <c r="L83" s="101"/>
      <c r="M83" s="101"/>
      <c r="N83" s="101"/>
      <c r="O83" s="101"/>
      <c r="P83" s="101"/>
      <c r="Q83" s="101"/>
      <c r="R83" s="101"/>
      <c r="S83" s="101"/>
      <c r="T83" s="101"/>
      <c r="U83" s="101"/>
      <c r="V83" s="101"/>
    </row>
    <row r="84" spans="1:22" ht="15" x14ac:dyDescent="0.2">
      <c r="A84" s="101"/>
      <c r="B84" s="853"/>
      <c r="C84" s="853"/>
      <c r="D84" s="103"/>
      <c r="E84" s="101"/>
      <c r="F84" s="853"/>
      <c r="G84" s="853"/>
      <c r="H84" s="853"/>
      <c r="I84" s="853"/>
      <c r="J84" s="151"/>
      <c r="K84" s="151"/>
      <c r="L84" s="101"/>
      <c r="M84" s="101"/>
      <c r="N84" s="101"/>
      <c r="O84" s="101"/>
      <c r="P84" s="101"/>
      <c r="Q84" s="101"/>
      <c r="R84" s="101"/>
      <c r="S84" s="101"/>
      <c r="T84" s="101"/>
      <c r="U84" s="101"/>
      <c r="V84" s="101"/>
    </row>
    <row r="85" spans="1:22" ht="15" x14ac:dyDescent="0.2">
      <c r="A85" s="101"/>
      <c r="B85" s="980" t="s">
        <v>1054</v>
      </c>
      <c r="C85" s="980"/>
      <c r="D85" s="101"/>
      <c r="E85" s="101"/>
      <c r="F85" s="854" t="s">
        <v>536</v>
      </c>
      <c r="G85" s="854"/>
      <c r="H85" s="854"/>
      <c r="I85" s="854"/>
      <c r="J85" s="103"/>
      <c r="K85" s="103"/>
      <c r="L85" s="854" t="s">
        <v>537</v>
      </c>
      <c r="M85" s="854"/>
      <c r="N85" s="854"/>
      <c r="O85" s="101"/>
      <c r="P85" s="101"/>
      <c r="Q85" s="101"/>
      <c r="R85" s="101"/>
      <c r="S85" s="101"/>
      <c r="T85" s="101"/>
      <c r="U85" s="101"/>
      <c r="V85" s="101"/>
    </row>
    <row r="86" spans="1:22" ht="15" x14ac:dyDescent="0.2">
      <c r="A86" s="101"/>
      <c r="B86" s="851" t="s">
        <v>1055</v>
      </c>
      <c r="C86" s="851"/>
      <c r="D86" s="101"/>
      <c r="E86" s="101"/>
      <c r="F86" s="851" t="s">
        <v>546</v>
      </c>
      <c r="G86" s="851"/>
      <c r="H86" s="851"/>
      <c r="I86" s="851"/>
      <c r="J86" s="101"/>
      <c r="K86" s="101"/>
      <c r="L86" s="851" t="s">
        <v>538</v>
      </c>
      <c r="M86" s="851"/>
      <c r="N86" s="851"/>
      <c r="O86" s="101"/>
      <c r="P86" s="101"/>
      <c r="Q86" s="101"/>
      <c r="R86" s="101"/>
      <c r="S86" s="101"/>
      <c r="T86" s="101"/>
      <c r="U86" s="101"/>
      <c r="V86" s="101"/>
    </row>
  </sheetData>
  <autoFilter ref="A22:V77" xr:uid="{9ACC4016-B174-4844-A00F-F45009F7F60C}">
    <filterColumn colId="8" showButton="0"/>
    <filterColumn colId="9" showButton="0"/>
    <filterColumn colId="11" showButton="0"/>
    <filterColumn colId="12" showButton="0"/>
    <filterColumn colId="14" showButton="0"/>
    <filterColumn colId="15" showButton="0"/>
    <filterColumn colId="17" showButton="0"/>
    <filterColumn colId="18" showButton="0"/>
  </autoFilter>
  <mergeCells count="36">
    <mergeCell ref="B85:C85"/>
    <mergeCell ref="F85:I85"/>
    <mergeCell ref="L85:N85"/>
    <mergeCell ref="B86:C86"/>
    <mergeCell ref="F86:I86"/>
    <mergeCell ref="L86:N86"/>
    <mergeCell ref="A42:A57"/>
    <mergeCell ref="B42:B56"/>
    <mergeCell ref="A58:A74"/>
    <mergeCell ref="B58:B74"/>
    <mergeCell ref="B84:C84"/>
    <mergeCell ref="F84:I84"/>
    <mergeCell ref="R22:T22"/>
    <mergeCell ref="U22:U23"/>
    <mergeCell ref="V22:V23"/>
    <mergeCell ref="A24:A41"/>
    <mergeCell ref="B25:B26"/>
    <mergeCell ref="B28:B32"/>
    <mergeCell ref="B33:B36"/>
    <mergeCell ref="B38:B41"/>
    <mergeCell ref="F22:F23"/>
    <mergeCell ref="G22:G23"/>
    <mergeCell ref="H22:H23"/>
    <mergeCell ref="I22:K22"/>
    <mergeCell ref="L22:N22"/>
    <mergeCell ref="O22:Q22"/>
    <mergeCell ref="A22:A23"/>
    <mergeCell ref="B22:B23"/>
    <mergeCell ref="C22:C23"/>
    <mergeCell ref="D22:D23"/>
    <mergeCell ref="E22:E23"/>
    <mergeCell ref="A14:V14"/>
    <mergeCell ref="A15:V15"/>
    <mergeCell ref="A16:V16"/>
    <mergeCell ref="B18:V18"/>
    <mergeCell ref="B19:V19"/>
  </mergeCells>
  <pageMargins left="0.23622047244094491" right="0.23622047244094491" top="0.39370078740157483" bottom="0.39370078740157483" header="0.31496062992125984" footer="0.31496062992125984"/>
  <pageSetup paperSize="5" scale="32" fitToHeight="0" orientation="landscape" r:id="rId1"/>
  <headerFooter>
    <oddFooter>&amp;CPágina &amp;P de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78C1-A43E-4A4B-8464-8589F0788F6F}">
  <sheetPr codeName="Sheet17">
    <pageSetUpPr fitToPage="1"/>
  </sheetPr>
  <dimension ref="A3:U49"/>
  <sheetViews>
    <sheetView workbookViewId="0"/>
  </sheetViews>
  <sheetFormatPr defaultColWidth="11.42578125" defaultRowHeight="15" x14ac:dyDescent="0.25"/>
  <cols>
    <col min="1" max="1" width="56.28515625" bestFit="1" customWidth="1"/>
    <col min="2" max="2" width="35.42578125" customWidth="1"/>
    <col min="3" max="3" width="24.42578125" customWidth="1"/>
    <col min="4" max="4" width="17.42578125" bestFit="1" customWidth="1"/>
    <col min="5" max="5" width="13.7109375" style="15" customWidth="1"/>
    <col min="6" max="6" width="44.42578125" bestFit="1" customWidth="1"/>
    <col min="7" max="7" width="11" bestFit="1" customWidth="1"/>
    <col min="13" max="14" width="11.85546875" bestFit="1" customWidth="1"/>
    <col min="15" max="15" width="15.140625" bestFit="1" customWidth="1"/>
    <col min="16" max="16" width="12.85546875" bestFit="1" customWidth="1"/>
    <col min="17" max="17" width="15.7109375" customWidth="1"/>
    <col min="18" max="18" width="18.42578125" customWidth="1"/>
    <col min="19" max="19" width="25" customWidth="1"/>
    <col min="20" max="20" width="27" customWidth="1"/>
    <col min="21" max="21" width="25.7109375" customWidth="1"/>
    <col min="22" max="136" width="11.42578125" customWidth="1"/>
    <col min="137" max="137" width="16.7109375" customWidth="1"/>
  </cols>
  <sheetData>
    <row r="3" spans="1:21" x14ac:dyDescent="0.25">
      <c r="O3" s="16"/>
    </row>
    <row r="4" spans="1:21" x14ac:dyDescent="0.25">
      <c r="O4" s="16"/>
    </row>
    <row r="5" spans="1:21" ht="28.5" customHeight="1" x14ac:dyDescent="0.35">
      <c r="A5" s="849"/>
      <c r="B5" s="849"/>
      <c r="C5" s="849"/>
      <c r="D5" s="849"/>
      <c r="E5" s="849"/>
      <c r="F5" s="849"/>
      <c r="G5" s="849"/>
      <c r="H5" s="849"/>
      <c r="I5" s="849"/>
      <c r="J5" s="849"/>
      <c r="K5" s="849"/>
      <c r="L5" s="849"/>
      <c r="M5" s="849"/>
      <c r="N5" s="849"/>
      <c r="O5" s="849"/>
      <c r="P5" s="849"/>
      <c r="Q5" s="849"/>
      <c r="R5" s="849"/>
      <c r="S5" s="849"/>
      <c r="T5" s="849"/>
    </row>
    <row r="6" spans="1:21" ht="28.5" customHeight="1" x14ac:dyDescent="0.35">
      <c r="A6" s="17"/>
      <c r="B6" s="17"/>
      <c r="C6" s="17"/>
      <c r="D6" s="17"/>
      <c r="E6" s="17"/>
      <c r="F6" s="17"/>
      <c r="G6" s="17"/>
      <c r="H6" s="17"/>
      <c r="I6" s="17"/>
      <c r="J6" s="17"/>
      <c r="K6" s="17"/>
      <c r="L6" s="17"/>
      <c r="M6" s="17"/>
      <c r="N6" s="17"/>
      <c r="O6" s="17"/>
      <c r="P6" s="17"/>
      <c r="Q6" s="17"/>
      <c r="R6" s="17"/>
      <c r="S6" s="17"/>
      <c r="T6" s="17"/>
    </row>
    <row r="7" spans="1:21" ht="28.5" customHeight="1" x14ac:dyDescent="0.35">
      <c r="A7" s="17"/>
      <c r="B7" s="17"/>
      <c r="C7" s="17"/>
      <c r="D7" s="17"/>
      <c r="E7" s="17"/>
      <c r="F7" s="17"/>
      <c r="G7" s="17"/>
      <c r="H7" s="17"/>
      <c r="I7" s="17"/>
      <c r="J7" s="17"/>
      <c r="K7" s="17"/>
      <c r="L7" s="17"/>
      <c r="M7" s="17"/>
      <c r="N7" s="17"/>
      <c r="O7" s="17"/>
      <c r="P7" s="17"/>
      <c r="Q7" s="17"/>
      <c r="R7" s="17"/>
      <c r="S7" s="17"/>
      <c r="T7" s="17"/>
    </row>
    <row r="8" spans="1:21" ht="19.5" x14ac:dyDescent="0.25">
      <c r="A8" s="858" t="s">
        <v>0</v>
      </c>
      <c r="B8" s="858"/>
      <c r="C8" s="858"/>
      <c r="D8" s="858"/>
      <c r="E8" s="858"/>
      <c r="F8" s="858"/>
      <c r="G8" s="858"/>
      <c r="H8" s="858"/>
      <c r="I8" s="858"/>
      <c r="J8" s="858"/>
      <c r="K8" s="858"/>
      <c r="L8" s="858"/>
      <c r="M8" s="858"/>
      <c r="N8" s="858"/>
      <c r="O8" s="858"/>
      <c r="P8" s="858"/>
      <c r="Q8" s="858"/>
      <c r="R8" s="858"/>
      <c r="S8" s="858"/>
      <c r="T8" s="858"/>
      <c r="U8" s="858"/>
    </row>
    <row r="9" spans="1:21" ht="19.5" x14ac:dyDescent="0.25">
      <c r="A9" s="858" t="s">
        <v>1</v>
      </c>
      <c r="B9" s="858"/>
      <c r="C9" s="858"/>
      <c r="D9" s="858"/>
      <c r="E9" s="858"/>
      <c r="F9" s="858"/>
      <c r="G9" s="858"/>
      <c r="H9" s="858"/>
      <c r="I9" s="858"/>
      <c r="J9" s="858"/>
      <c r="K9" s="858"/>
      <c r="L9" s="858"/>
      <c r="M9" s="858"/>
      <c r="N9" s="858"/>
      <c r="O9" s="858"/>
      <c r="P9" s="858"/>
      <c r="Q9" s="858"/>
      <c r="R9" s="858"/>
      <c r="S9" s="858"/>
      <c r="T9" s="858"/>
      <c r="U9" s="858"/>
    </row>
    <row r="10" spans="1:21" ht="21" x14ac:dyDescent="0.35">
      <c r="A10" s="17"/>
      <c r="B10" s="17"/>
      <c r="C10" s="17"/>
      <c r="D10" s="17"/>
      <c r="E10" s="17"/>
      <c r="F10" s="17"/>
      <c r="G10" s="17"/>
      <c r="H10" s="17"/>
      <c r="I10" s="17"/>
      <c r="J10" s="17"/>
      <c r="K10" s="17"/>
      <c r="L10" s="17"/>
      <c r="M10" s="17"/>
      <c r="N10" s="17"/>
      <c r="O10" s="17"/>
      <c r="P10" s="17"/>
      <c r="Q10" s="17"/>
      <c r="R10" s="17"/>
      <c r="S10" s="17"/>
      <c r="T10" s="17"/>
    </row>
    <row r="11" spans="1:21" ht="15.75" x14ac:dyDescent="0.25">
      <c r="A11" s="100" t="s">
        <v>2</v>
      </c>
      <c r="B11" s="848" t="s">
        <v>185</v>
      </c>
      <c r="C11" s="848"/>
      <c r="D11" s="848"/>
      <c r="E11" s="848"/>
      <c r="F11" s="848"/>
      <c r="G11" s="848"/>
      <c r="H11" s="848"/>
      <c r="I11" s="848"/>
      <c r="J11" s="848"/>
      <c r="K11" s="848"/>
      <c r="L11" s="848"/>
      <c r="M11" s="848"/>
      <c r="N11" s="848"/>
      <c r="O11" s="848"/>
      <c r="P11" s="848"/>
      <c r="Q11" s="848"/>
      <c r="R11" s="848"/>
      <c r="S11" s="848"/>
      <c r="T11" s="848"/>
      <c r="U11" s="848"/>
    </row>
    <row r="12" spans="1:21" ht="15.75" x14ac:dyDescent="0.25">
      <c r="A12" s="100" t="s">
        <v>186</v>
      </c>
      <c r="B12" s="848" t="s">
        <v>187</v>
      </c>
      <c r="C12" s="848"/>
      <c r="D12" s="848"/>
      <c r="E12" s="848"/>
      <c r="F12" s="848"/>
      <c r="G12" s="848"/>
      <c r="H12" s="848"/>
      <c r="I12" s="848"/>
      <c r="J12" s="848"/>
      <c r="K12" s="848"/>
      <c r="L12" s="848"/>
      <c r="M12" s="848"/>
      <c r="N12" s="848"/>
      <c r="O12" s="848"/>
      <c r="P12" s="848"/>
      <c r="Q12" s="848"/>
      <c r="R12" s="848"/>
      <c r="S12" s="848"/>
      <c r="T12" s="848"/>
      <c r="U12" s="848"/>
    </row>
    <row r="13" spans="1:21" ht="15.75" x14ac:dyDescent="0.25">
      <c r="A13" s="100" t="s">
        <v>188</v>
      </c>
      <c r="B13" s="848" t="s">
        <v>189</v>
      </c>
      <c r="C13" s="848"/>
      <c r="D13" s="848"/>
      <c r="E13" s="848"/>
      <c r="F13" s="848"/>
      <c r="G13" s="848"/>
      <c r="H13" s="848"/>
      <c r="I13" s="848"/>
      <c r="J13" s="848"/>
      <c r="K13" s="848"/>
      <c r="L13" s="848"/>
      <c r="M13" s="848"/>
      <c r="N13" s="848"/>
      <c r="O13" s="848"/>
      <c r="P13" s="848"/>
      <c r="Q13" s="848"/>
      <c r="R13" s="848"/>
      <c r="S13" s="848"/>
      <c r="T13" s="848"/>
      <c r="U13" s="848"/>
    </row>
    <row r="14" spans="1:21" ht="15.75" x14ac:dyDescent="0.25">
      <c r="A14" s="101"/>
      <c r="B14" s="101"/>
      <c r="C14" s="101"/>
      <c r="D14" s="101"/>
      <c r="E14" s="103"/>
      <c r="F14" s="101"/>
      <c r="G14" s="101"/>
      <c r="H14" s="101"/>
      <c r="I14" s="101"/>
      <c r="J14" s="101"/>
      <c r="K14" s="101"/>
      <c r="L14" s="101"/>
      <c r="M14" s="101"/>
      <c r="N14" s="101"/>
      <c r="O14" s="101"/>
      <c r="P14" s="101"/>
      <c r="Q14" s="101"/>
      <c r="R14" s="101"/>
      <c r="S14" s="101"/>
      <c r="T14" s="101"/>
    </row>
    <row r="15" spans="1:21" ht="17.25" customHeight="1" x14ac:dyDescent="0.25">
      <c r="A15" s="845" t="s">
        <v>6</v>
      </c>
      <c r="B15" s="845" t="s">
        <v>7</v>
      </c>
      <c r="C15" s="845" t="s">
        <v>8</v>
      </c>
      <c r="D15" s="846" t="s">
        <v>190</v>
      </c>
      <c r="E15" s="846"/>
      <c r="F15" s="845" t="s">
        <v>10</v>
      </c>
      <c r="G15" s="847" t="s">
        <v>11</v>
      </c>
      <c r="H15" s="847"/>
      <c r="I15" s="847"/>
      <c r="J15" s="847" t="s">
        <v>12</v>
      </c>
      <c r="K15" s="847"/>
      <c r="L15" s="847"/>
      <c r="M15" s="847" t="s">
        <v>13</v>
      </c>
      <c r="N15" s="847"/>
      <c r="O15" s="847"/>
      <c r="P15" s="847" t="s">
        <v>14</v>
      </c>
      <c r="Q15" s="847"/>
      <c r="R15" s="847"/>
      <c r="S15" s="845" t="s">
        <v>15</v>
      </c>
      <c r="T15" s="845" t="s">
        <v>16</v>
      </c>
      <c r="U15" s="845" t="s">
        <v>49</v>
      </c>
    </row>
    <row r="16" spans="1:21" s="18" customFormat="1" ht="30" x14ac:dyDescent="0.25">
      <c r="A16" s="845"/>
      <c r="B16" s="845"/>
      <c r="C16" s="845"/>
      <c r="D16" s="96" t="s">
        <v>17</v>
      </c>
      <c r="E16" s="96" t="s">
        <v>18</v>
      </c>
      <c r="F16" s="845"/>
      <c r="G16" s="96" t="s">
        <v>19</v>
      </c>
      <c r="H16" s="96" t="s">
        <v>20</v>
      </c>
      <c r="I16" s="96" t="s">
        <v>21</v>
      </c>
      <c r="J16" s="96" t="s">
        <v>22</v>
      </c>
      <c r="K16" s="96" t="s">
        <v>23</v>
      </c>
      <c r="L16" s="96" t="s">
        <v>24</v>
      </c>
      <c r="M16" s="96" t="s">
        <v>25</v>
      </c>
      <c r="N16" s="96" t="s">
        <v>26</v>
      </c>
      <c r="O16" s="96" t="s">
        <v>27</v>
      </c>
      <c r="P16" s="96" t="s">
        <v>28</v>
      </c>
      <c r="Q16" s="96" t="s">
        <v>29</v>
      </c>
      <c r="R16" s="96" t="s">
        <v>30</v>
      </c>
      <c r="S16" s="845"/>
      <c r="T16" s="845"/>
      <c r="U16" s="845"/>
    </row>
    <row r="17" spans="1:21" ht="60" x14ac:dyDescent="0.25">
      <c r="A17" s="991" t="s">
        <v>1002</v>
      </c>
      <c r="B17" s="272" t="s">
        <v>191</v>
      </c>
      <c r="C17" s="175" t="s">
        <v>192</v>
      </c>
      <c r="D17" s="175" t="s">
        <v>18</v>
      </c>
      <c r="E17" s="175">
        <v>1</v>
      </c>
      <c r="F17" s="272" t="s">
        <v>1003</v>
      </c>
      <c r="G17" s="175"/>
      <c r="H17" s="175"/>
      <c r="I17" s="273"/>
      <c r="J17" s="175"/>
      <c r="K17" s="175"/>
      <c r="L17" s="273"/>
      <c r="M17" s="175"/>
      <c r="N17" s="175"/>
      <c r="O17" s="273"/>
      <c r="P17" s="175"/>
      <c r="Q17" s="175"/>
      <c r="R17" s="175">
        <v>1</v>
      </c>
      <c r="S17" s="983">
        <f>+'Presupuesto Recursos Humanos'!U24+'Presupuesto Recursos Humanos'!U25</f>
        <v>1476670</v>
      </c>
      <c r="T17" s="160" t="s">
        <v>193</v>
      </c>
      <c r="U17" s="85"/>
    </row>
    <row r="18" spans="1:21" ht="45" x14ac:dyDescent="0.25">
      <c r="A18" s="991"/>
      <c r="B18" s="272" t="s">
        <v>194</v>
      </c>
      <c r="C18" s="175" t="s">
        <v>195</v>
      </c>
      <c r="D18" s="175" t="s">
        <v>31</v>
      </c>
      <c r="E18" s="274">
        <v>0.9</v>
      </c>
      <c r="F18" s="272" t="s">
        <v>1005</v>
      </c>
      <c r="G18" s="175"/>
      <c r="H18" s="175"/>
      <c r="I18" s="274">
        <v>0.9</v>
      </c>
      <c r="J18" s="274"/>
      <c r="K18" s="274"/>
      <c r="L18" s="274">
        <v>0.9</v>
      </c>
      <c r="M18" s="274"/>
      <c r="N18" s="274"/>
      <c r="O18" s="274">
        <v>0.9</v>
      </c>
      <c r="P18" s="274"/>
      <c r="Q18" s="274"/>
      <c r="R18" s="274">
        <v>0.9</v>
      </c>
      <c r="S18" s="983"/>
      <c r="T18" s="984" t="s">
        <v>196</v>
      </c>
      <c r="U18" s="85"/>
    </row>
    <row r="19" spans="1:21" ht="55.5" customHeight="1" x14ac:dyDescent="0.25">
      <c r="A19" s="991"/>
      <c r="B19" s="272" t="s">
        <v>197</v>
      </c>
      <c r="C19" s="175" t="s">
        <v>198</v>
      </c>
      <c r="D19" s="175" t="s">
        <v>31</v>
      </c>
      <c r="E19" s="274">
        <v>1</v>
      </c>
      <c r="F19" s="272" t="s">
        <v>1004</v>
      </c>
      <c r="G19" s="175"/>
      <c r="H19" s="175"/>
      <c r="I19" s="274">
        <v>1</v>
      </c>
      <c r="J19" s="274"/>
      <c r="K19" s="274"/>
      <c r="L19" s="274">
        <v>1</v>
      </c>
      <c r="M19" s="274"/>
      <c r="N19" s="274"/>
      <c r="O19" s="274">
        <v>1</v>
      </c>
      <c r="P19" s="274"/>
      <c r="Q19" s="274"/>
      <c r="R19" s="274">
        <v>1</v>
      </c>
      <c r="S19" s="983"/>
      <c r="T19" s="984"/>
      <c r="U19" s="85"/>
    </row>
    <row r="20" spans="1:21" s="19" customFormat="1" ht="69" customHeight="1" x14ac:dyDescent="0.25">
      <c r="A20" s="987" t="s">
        <v>1006</v>
      </c>
      <c r="B20" s="104" t="s">
        <v>199</v>
      </c>
      <c r="C20" s="988" t="s">
        <v>200</v>
      </c>
      <c r="D20" s="988" t="s">
        <v>18</v>
      </c>
      <c r="E20" s="988">
        <v>1</v>
      </c>
      <c r="F20" s="152" t="s">
        <v>1007</v>
      </c>
      <c r="G20" s="144"/>
      <c r="H20" s="144"/>
      <c r="I20" s="145"/>
      <c r="J20" s="145">
        <v>1</v>
      </c>
      <c r="K20" s="145"/>
      <c r="L20" s="145"/>
      <c r="M20" s="145"/>
      <c r="N20" s="145"/>
      <c r="O20" s="145"/>
      <c r="P20" s="145"/>
      <c r="Q20" s="145"/>
      <c r="R20" s="145"/>
      <c r="S20" s="990"/>
      <c r="T20" s="942" t="s">
        <v>201</v>
      </c>
      <c r="U20" s="360"/>
    </row>
    <row r="21" spans="1:21" s="19" customFormat="1" ht="69" customHeight="1" x14ac:dyDescent="0.25">
      <c r="A21" s="987"/>
      <c r="B21" s="104" t="s">
        <v>202</v>
      </c>
      <c r="C21" s="988"/>
      <c r="D21" s="988"/>
      <c r="E21" s="988"/>
      <c r="F21" s="152" t="s">
        <v>1008</v>
      </c>
      <c r="G21" s="144"/>
      <c r="H21" s="144"/>
      <c r="I21" s="144"/>
      <c r="J21" s="145"/>
      <c r="K21" s="145">
        <v>1</v>
      </c>
      <c r="L21" s="145"/>
      <c r="M21" s="145"/>
      <c r="N21" s="145"/>
      <c r="O21" s="145"/>
      <c r="P21" s="145"/>
      <c r="Q21" s="145"/>
      <c r="R21" s="145"/>
      <c r="S21" s="990"/>
      <c r="T21" s="942"/>
      <c r="U21" s="360"/>
    </row>
    <row r="22" spans="1:21" s="19" customFormat="1" ht="69" customHeight="1" x14ac:dyDescent="0.25">
      <c r="A22" s="987"/>
      <c r="B22" s="104" t="s">
        <v>203</v>
      </c>
      <c r="C22" s="988"/>
      <c r="D22" s="988"/>
      <c r="E22" s="988"/>
      <c r="F22" s="152" t="s">
        <v>1009</v>
      </c>
      <c r="G22" s="144"/>
      <c r="H22" s="144"/>
      <c r="I22" s="144"/>
      <c r="J22" s="145"/>
      <c r="K22" s="145"/>
      <c r="L22" s="145">
        <v>1</v>
      </c>
      <c r="M22" s="145"/>
      <c r="N22" s="145"/>
      <c r="O22" s="145"/>
      <c r="P22" s="145"/>
      <c r="Q22" s="145"/>
      <c r="R22" s="145"/>
      <c r="S22" s="990"/>
      <c r="T22" s="942" t="s">
        <v>204</v>
      </c>
      <c r="U22" s="360"/>
    </row>
    <row r="23" spans="1:21" s="19" customFormat="1" ht="57.75" customHeight="1" x14ac:dyDescent="0.25">
      <c r="A23" s="987"/>
      <c r="B23" s="104" t="s">
        <v>205</v>
      </c>
      <c r="C23" s="988"/>
      <c r="D23" s="988"/>
      <c r="E23" s="988"/>
      <c r="F23" s="152" t="s">
        <v>1010</v>
      </c>
      <c r="G23" s="144"/>
      <c r="H23" s="144"/>
      <c r="I23" s="144"/>
      <c r="J23" s="145"/>
      <c r="K23" s="145"/>
      <c r="L23" s="145"/>
      <c r="M23" s="145">
        <v>1</v>
      </c>
      <c r="N23" s="145"/>
      <c r="O23" s="145"/>
      <c r="P23" s="145"/>
      <c r="Q23" s="145"/>
      <c r="R23" s="145"/>
      <c r="S23" s="990"/>
      <c r="T23" s="942"/>
      <c r="U23" s="360"/>
    </row>
    <row r="24" spans="1:21" s="19" customFormat="1" ht="36.75" customHeight="1" x14ac:dyDescent="0.25">
      <c r="A24" s="987"/>
      <c r="B24" s="104" t="s">
        <v>206</v>
      </c>
      <c r="C24" s="988"/>
      <c r="D24" s="988"/>
      <c r="E24" s="988"/>
      <c r="F24" s="152" t="s">
        <v>1011</v>
      </c>
      <c r="G24" s="144"/>
      <c r="H24" s="144"/>
      <c r="I24" s="144"/>
      <c r="J24" s="145"/>
      <c r="K24" s="145"/>
      <c r="L24" s="145"/>
      <c r="M24" s="145"/>
      <c r="N24" s="145">
        <v>1</v>
      </c>
      <c r="O24" s="145"/>
      <c r="P24" s="145"/>
      <c r="Q24" s="145"/>
      <c r="R24" s="145"/>
      <c r="S24" s="990"/>
      <c r="T24" s="942"/>
      <c r="U24" s="360"/>
    </row>
    <row r="25" spans="1:21" ht="49.5" customHeight="1" x14ac:dyDescent="0.25">
      <c r="A25" s="971" t="s">
        <v>1012</v>
      </c>
      <c r="B25" s="224" t="s">
        <v>207</v>
      </c>
      <c r="C25" s="984" t="s">
        <v>208</v>
      </c>
      <c r="D25" s="160" t="s">
        <v>31</v>
      </c>
      <c r="E25" s="275">
        <v>0.88</v>
      </c>
      <c r="F25" s="159" t="s">
        <v>1013</v>
      </c>
      <c r="G25" s="160"/>
      <c r="H25" s="160"/>
      <c r="I25" s="160"/>
      <c r="J25" s="175"/>
      <c r="K25" s="175"/>
      <c r="L25" s="276"/>
      <c r="M25" s="175"/>
      <c r="N25" s="274">
        <v>0.88</v>
      </c>
      <c r="O25" s="175"/>
      <c r="P25" s="175"/>
      <c r="Q25" s="175"/>
      <c r="R25" s="175"/>
      <c r="S25" s="983">
        <f>+'Presupuesto Recursos Humanos'!U26</f>
        <v>16500</v>
      </c>
      <c r="T25" s="984" t="s">
        <v>209</v>
      </c>
      <c r="U25" s="85"/>
    </row>
    <row r="26" spans="1:21" ht="42.75" customHeight="1" x14ac:dyDescent="0.25">
      <c r="A26" s="971"/>
      <c r="B26" s="224" t="s">
        <v>210</v>
      </c>
      <c r="C26" s="984"/>
      <c r="D26" s="160" t="s">
        <v>18</v>
      </c>
      <c r="E26" s="160">
        <v>1</v>
      </c>
      <c r="F26" s="159" t="s">
        <v>1014</v>
      </c>
      <c r="G26" s="160"/>
      <c r="H26" s="160"/>
      <c r="I26" s="277"/>
      <c r="J26" s="175"/>
      <c r="K26" s="175"/>
      <c r="L26" s="276"/>
      <c r="M26" s="175"/>
      <c r="N26" s="175"/>
      <c r="O26" s="175"/>
      <c r="P26" s="175">
        <v>1</v>
      </c>
      <c r="Q26" s="175"/>
      <c r="R26" s="175"/>
      <c r="S26" s="983"/>
      <c r="T26" s="984"/>
      <c r="U26" s="85"/>
    </row>
    <row r="27" spans="1:21" ht="44.25" customHeight="1" x14ac:dyDescent="0.25">
      <c r="A27" s="971"/>
      <c r="B27" s="224" t="s">
        <v>211</v>
      </c>
      <c r="C27" s="984"/>
      <c r="D27" s="160" t="s">
        <v>18</v>
      </c>
      <c r="E27" s="160">
        <v>1</v>
      </c>
      <c r="F27" s="159" t="s">
        <v>1015</v>
      </c>
      <c r="G27" s="160"/>
      <c r="H27" s="160"/>
      <c r="I27" s="278"/>
      <c r="J27" s="175"/>
      <c r="K27" s="175"/>
      <c r="L27" s="175"/>
      <c r="M27" s="175"/>
      <c r="N27" s="175"/>
      <c r="O27" s="273"/>
      <c r="P27" s="175"/>
      <c r="Q27" s="175">
        <v>1</v>
      </c>
      <c r="R27" s="273"/>
      <c r="S27" s="983"/>
      <c r="T27" s="278" t="s">
        <v>212</v>
      </c>
      <c r="U27" s="85"/>
    </row>
    <row r="28" spans="1:21" ht="45" x14ac:dyDescent="0.25">
      <c r="A28" s="987" t="s">
        <v>1016</v>
      </c>
      <c r="B28" s="152" t="s">
        <v>213</v>
      </c>
      <c r="C28" s="107" t="s">
        <v>214</v>
      </c>
      <c r="D28" s="107" t="s">
        <v>31</v>
      </c>
      <c r="E28" s="279">
        <v>1</v>
      </c>
      <c r="F28" s="152" t="s">
        <v>1017</v>
      </c>
      <c r="G28" s="279">
        <v>1</v>
      </c>
      <c r="H28" s="279"/>
      <c r="I28" s="107"/>
      <c r="J28" s="107"/>
      <c r="K28" s="107"/>
      <c r="L28" s="107"/>
      <c r="M28" s="107"/>
      <c r="N28" s="107"/>
      <c r="O28" s="107"/>
      <c r="P28" s="107"/>
      <c r="Q28" s="107"/>
      <c r="R28" s="107"/>
      <c r="S28" s="990">
        <f>+'Presupuesto Recursos Humanos'!U27+'Presupuesto Recursos Humanos'!U28</f>
        <v>14300000</v>
      </c>
      <c r="T28" s="942" t="s">
        <v>215</v>
      </c>
      <c r="U28" s="361"/>
    </row>
    <row r="29" spans="1:21" ht="60" x14ac:dyDescent="0.25">
      <c r="A29" s="987"/>
      <c r="B29" s="152" t="s">
        <v>216</v>
      </c>
      <c r="C29" s="107" t="s">
        <v>214</v>
      </c>
      <c r="D29" s="107" t="s">
        <v>31</v>
      </c>
      <c r="E29" s="279">
        <v>0.95</v>
      </c>
      <c r="F29" s="152" t="s">
        <v>1018</v>
      </c>
      <c r="G29" s="107"/>
      <c r="H29" s="279">
        <v>0.95</v>
      </c>
      <c r="I29" s="279">
        <v>0.95</v>
      </c>
      <c r="J29" s="279">
        <v>0.95</v>
      </c>
      <c r="K29" s="279">
        <v>0.95</v>
      </c>
      <c r="L29" s="279">
        <v>0.95</v>
      </c>
      <c r="M29" s="279">
        <v>0.95</v>
      </c>
      <c r="N29" s="279">
        <v>0.95</v>
      </c>
      <c r="O29" s="279">
        <v>0.95</v>
      </c>
      <c r="P29" s="279">
        <v>0.95</v>
      </c>
      <c r="Q29" s="279"/>
      <c r="R29" s="279"/>
      <c r="S29" s="990"/>
      <c r="T29" s="942"/>
      <c r="U29" s="361"/>
    </row>
    <row r="30" spans="1:21" ht="60" x14ac:dyDescent="0.25">
      <c r="A30" s="987"/>
      <c r="B30" s="152" t="s">
        <v>217</v>
      </c>
      <c r="C30" s="107" t="s">
        <v>218</v>
      </c>
      <c r="D30" s="107" t="s">
        <v>31</v>
      </c>
      <c r="E30" s="279">
        <v>1</v>
      </c>
      <c r="F30" s="152" t="s">
        <v>1019</v>
      </c>
      <c r="G30" s="107"/>
      <c r="H30" s="107"/>
      <c r="I30" s="107"/>
      <c r="J30" s="107"/>
      <c r="K30" s="107"/>
      <c r="L30" s="107"/>
      <c r="M30" s="107"/>
      <c r="N30" s="107"/>
      <c r="O30" s="107"/>
      <c r="P30" s="107"/>
      <c r="Q30" s="107"/>
      <c r="R30" s="279">
        <v>1</v>
      </c>
      <c r="S30" s="990"/>
      <c r="T30" s="942"/>
      <c r="U30" s="361"/>
    </row>
    <row r="31" spans="1:21" ht="60" x14ac:dyDescent="0.25">
      <c r="A31" s="971" t="s">
        <v>1020</v>
      </c>
      <c r="B31" s="159" t="s">
        <v>219</v>
      </c>
      <c r="C31" s="160" t="s">
        <v>220</v>
      </c>
      <c r="D31" s="160" t="s">
        <v>18</v>
      </c>
      <c r="E31" s="160">
        <v>3</v>
      </c>
      <c r="F31" s="159" t="s">
        <v>1021</v>
      </c>
      <c r="G31" s="160"/>
      <c r="H31" s="160">
        <v>1</v>
      </c>
      <c r="I31" s="160"/>
      <c r="J31" s="175"/>
      <c r="K31" s="175">
        <v>1</v>
      </c>
      <c r="L31" s="175"/>
      <c r="M31" s="280"/>
      <c r="N31" s="175">
        <v>1</v>
      </c>
      <c r="O31" s="175"/>
      <c r="P31" s="175"/>
      <c r="Q31" s="175">
        <v>1</v>
      </c>
      <c r="R31" s="175"/>
      <c r="S31" s="983">
        <f>SUM('Presupuesto Recursos Humanos'!U50:U59)+'Presupuesto Recursos Humanos'!U29+'Presupuesto Recursos Humanos'!U30+'Presupuesto Recursos Humanos'!U31+'Presupuesto Recursos Humanos'!U32</f>
        <v>15958000</v>
      </c>
      <c r="T31" s="984" t="s">
        <v>215</v>
      </c>
      <c r="U31" s="85"/>
    </row>
    <row r="32" spans="1:21" ht="42.75" customHeight="1" x14ac:dyDescent="0.25">
      <c r="A32" s="971"/>
      <c r="B32" s="159" t="s">
        <v>221</v>
      </c>
      <c r="C32" s="160" t="s">
        <v>222</v>
      </c>
      <c r="D32" s="160" t="s">
        <v>47</v>
      </c>
      <c r="E32" s="275">
        <v>1</v>
      </c>
      <c r="F32" s="159" t="s">
        <v>1022</v>
      </c>
      <c r="G32" s="160"/>
      <c r="H32" s="160"/>
      <c r="I32" s="160">
        <v>1</v>
      </c>
      <c r="J32" s="175"/>
      <c r="K32" s="175"/>
      <c r="L32" s="175">
        <v>1</v>
      </c>
      <c r="M32" s="175"/>
      <c r="N32" s="175"/>
      <c r="O32" s="175">
        <v>1</v>
      </c>
      <c r="P32" s="175"/>
      <c r="Q32" s="175"/>
      <c r="R32" s="175"/>
      <c r="S32" s="983"/>
      <c r="T32" s="984"/>
      <c r="U32" s="85"/>
    </row>
    <row r="33" spans="1:21" ht="27" customHeight="1" x14ac:dyDescent="0.25">
      <c r="A33" s="985" t="s">
        <v>1023</v>
      </c>
      <c r="B33" s="987" t="s">
        <v>643</v>
      </c>
      <c r="C33" s="987" t="s">
        <v>642</v>
      </c>
      <c r="D33" s="988" t="s">
        <v>18</v>
      </c>
      <c r="E33" s="989">
        <v>1</v>
      </c>
      <c r="F33" s="152" t="s">
        <v>1024</v>
      </c>
      <c r="G33" s="145"/>
      <c r="H33" s="282"/>
      <c r="I33" s="282"/>
      <c r="J33" s="145">
        <v>1</v>
      </c>
      <c r="K33" s="145"/>
      <c r="L33" s="145"/>
      <c r="M33" s="145"/>
      <c r="N33" s="145"/>
      <c r="O33" s="145"/>
      <c r="P33" s="145"/>
      <c r="Q33" s="145"/>
      <c r="R33" s="145"/>
      <c r="S33" s="990">
        <f>SUM('Presupuesto Recursos Humanos'!U33:U49)</f>
        <v>1124500</v>
      </c>
      <c r="T33" s="859" t="s">
        <v>215</v>
      </c>
      <c r="U33" s="993"/>
    </row>
    <row r="34" spans="1:21" ht="27" customHeight="1" x14ac:dyDescent="0.25">
      <c r="A34" s="986"/>
      <c r="B34" s="987"/>
      <c r="C34" s="987"/>
      <c r="D34" s="988"/>
      <c r="E34" s="989"/>
      <c r="F34" s="152" t="s">
        <v>1025</v>
      </c>
      <c r="G34" s="145"/>
      <c r="H34" s="282"/>
      <c r="I34" s="282"/>
      <c r="J34" s="145"/>
      <c r="K34" s="145">
        <v>1</v>
      </c>
      <c r="L34" s="145"/>
      <c r="M34" s="145"/>
      <c r="N34" s="145"/>
      <c r="O34" s="145"/>
      <c r="P34" s="145"/>
      <c r="Q34" s="145"/>
      <c r="R34" s="145"/>
      <c r="S34" s="990"/>
      <c r="T34" s="860"/>
      <c r="U34" s="993"/>
    </row>
    <row r="35" spans="1:21" ht="27" customHeight="1" x14ac:dyDescent="0.25">
      <c r="A35" s="986"/>
      <c r="B35" s="987"/>
      <c r="C35" s="987"/>
      <c r="D35" s="988"/>
      <c r="E35" s="989"/>
      <c r="F35" s="152" t="s">
        <v>1026</v>
      </c>
      <c r="G35" s="145"/>
      <c r="H35" s="282"/>
      <c r="I35" s="282"/>
      <c r="J35" s="145"/>
      <c r="K35" s="145"/>
      <c r="L35" s="145"/>
      <c r="M35" s="145">
        <v>1</v>
      </c>
      <c r="N35" s="145"/>
      <c r="O35" s="145"/>
      <c r="P35" s="145"/>
      <c r="Q35" s="145"/>
      <c r="R35" s="145"/>
      <c r="S35" s="990"/>
      <c r="T35" s="860"/>
      <c r="U35" s="993"/>
    </row>
    <row r="36" spans="1:21" ht="27" customHeight="1" x14ac:dyDescent="0.25">
      <c r="A36" s="986"/>
      <c r="B36" s="987"/>
      <c r="C36" s="987"/>
      <c r="D36" s="988"/>
      <c r="E36" s="989"/>
      <c r="F36" s="152" t="s">
        <v>1027</v>
      </c>
      <c r="G36" s="145"/>
      <c r="H36" s="282"/>
      <c r="I36" s="282"/>
      <c r="J36" s="145"/>
      <c r="K36" s="145"/>
      <c r="L36" s="145"/>
      <c r="M36" s="145"/>
      <c r="N36" s="145">
        <v>1</v>
      </c>
      <c r="O36" s="145"/>
      <c r="P36" s="145"/>
      <c r="Q36" s="145"/>
      <c r="R36" s="145"/>
      <c r="S36" s="990"/>
      <c r="T36" s="860"/>
      <c r="U36" s="993"/>
    </row>
    <row r="37" spans="1:21" ht="27" customHeight="1" x14ac:dyDescent="0.25">
      <c r="A37" s="986"/>
      <c r="B37" s="987"/>
      <c r="C37" s="987"/>
      <c r="D37" s="988"/>
      <c r="E37" s="989"/>
      <c r="F37" s="152" t="s">
        <v>1028</v>
      </c>
      <c r="G37" s="145"/>
      <c r="H37" s="282"/>
      <c r="I37" s="282"/>
      <c r="J37" s="145"/>
      <c r="K37" s="145"/>
      <c r="L37" s="145"/>
      <c r="M37" s="145">
        <v>1</v>
      </c>
      <c r="N37" s="145"/>
      <c r="O37" s="145"/>
      <c r="P37" s="145"/>
      <c r="Q37" s="145"/>
      <c r="R37" s="145"/>
      <c r="S37" s="990"/>
      <c r="T37" s="860"/>
      <c r="U37" s="993"/>
    </row>
    <row r="38" spans="1:21" ht="30" x14ac:dyDescent="0.25">
      <c r="A38" s="986"/>
      <c r="B38" s="987"/>
      <c r="C38" s="987"/>
      <c r="D38" s="988"/>
      <c r="E38" s="989"/>
      <c r="F38" s="132" t="s">
        <v>1029</v>
      </c>
      <c r="G38" s="145"/>
      <c r="H38" s="282"/>
      <c r="I38" s="282"/>
      <c r="J38" s="145"/>
      <c r="K38" s="145"/>
      <c r="L38" s="145"/>
      <c r="M38" s="145"/>
      <c r="N38" s="145"/>
      <c r="O38" s="145"/>
      <c r="P38" s="145"/>
      <c r="Q38" s="145">
        <v>1</v>
      </c>
      <c r="R38" s="145"/>
      <c r="S38" s="990"/>
      <c r="T38" s="860"/>
      <c r="U38" s="993"/>
    </row>
    <row r="39" spans="1:21" ht="31.5" customHeight="1" x14ac:dyDescent="0.25">
      <c r="A39" s="986"/>
      <c r="B39" s="987"/>
      <c r="C39" s="987"/>
      <c r="D39" s="988"/>
      <c r="E39" s="989"/>
      <c r="F39" s="152" t="s">
        <v>1030</v>
      </c>
      <c r="G39" s="145"/>
      <c r="H39" s="282"/>
      <c r="I39" s="282"/>
      <c r="J39" s="145"/>
      <c r="K39" s="145"/>
      <c r="L39" s="145"/>
      <c r="M39" s="145"/>
      <c r="N39" s="145"/>
      <c r="O39" s="145"/>
      <c r="P39" s="145"/>
      <c r="Q39" s="145">
        <v>1</v>
      </c>
      <c r="R39" s="145"/>
      <c r="S39" s="990"/>
      <c r="T39" s="876"/>
      <c r="U39" s="993"/>
    </row>
    <row r="40" spans="1:21" ht="60" x14ac:dyDescent="0.25">
      <c r="A40" s="981" t="s">
        <v>1031</v>
      </c>
      <c r="B40" s="121" t="s">
        <v>223</v>
      </c>
      <c r="C40" s="121" t="s">
        <v>224</v>
      </c>
      <c r="D40" s="115" t="s">
        <v>18</v>
      </c>
      <c r="E40" s="115">
        <v>1</v>
      </c>
      <c r="F40" s="121" t="s">
        <v>1032</v>
      </c>
      <c r="G40" s="142"/>
      <c r="H40" s="142">
        <v>1</v>
      </c>
      <c r="I40" s="283"/>
      <c r="J40" s="142"/>
      <c r="K40" s="142"/>
      <c r="L40" s="142"/>
      <c r="M40" s="142"/>
      <c r="N40" s="142"/>
      <c r="O40" s="142"/>
      <c r="P40" s="142"/>
      <c r="Q40" s="142"/>
      <c r="R40" s="142"/>
      <c r="S40" s="205"/>
      <c r="T40" s="115" t="s">
        <v>225</v>
      </c>
      <c r="U40" s="85"/>
    </row>
    <row r="41" spans="1:21" ht="60" x14ac:dyDescent="0.25">
      <c r="A41" s="982"/>
      <c r="B41" s="121" t="s">
        <v>226</v>
      </c>
      <c r="C41" s="121" t="s">
        <v>227</v>
      </c>
      <c r="D41" s="115" t="s">
        <v>18</v>
      </c>
      <c r="E41" s="115">
        <v>1</v>
      </c>
      <c r="F41" s="121" t="s">
        <v>1033</v>
      </c>
      <c r="G41" s="142"/>
      <c r="H41" s="283"/>
      <c r="I41" s="142">
        <v>1</v>
      </c>
      <c r="J41" s="142"/>
      <c r="K41" s="142"/>
      <c r="L41" s="142"/>
      <c r="M41" s="142"/>
      <c r="N41" s="142"/>
      <c r="O41" s="142"/>
      <c r="P41" s="142"/>
      <c r="Q41" s="142"/>
      <c r="R41" s="142"/>
      <c r="S41" s="205"/>
      <c r="T41" s="115" t="s">
        <v>228</v>
      </c>
      <c r="U41" s="85"/>
    </row>
    <row r="42" spans="1:21" ht="15.75" x14ac:dyDescent="0.25">
      <c r="A42" s="844"/>
      <c r="B42" s="844"/>
      <c r="C42" s="844"/>
      <c r="D42" s="844"/>
      <c r="E42" s="844"/>
      <c r="F42" s="844"/>
      <c r="G42" s="844"/>
      <c r="H42" s="844"/>
      <c r="I42" s="844"/>
      <c r="J42" s="844"/>
      <c r="K42" s="844"/>
      <c r="L42" s="844"/>
      <c r="M42" s="844"/>
      <c r="N42" s="844"/>
      <c r="O42" s="844"/>
      <c r="P42" s="844"/>
      <c r="Q42" s="844"/>
      <c r="R42" s="844"/>
      <c r="S42" s="123">
        <f>SUM(S17:S39)</f>
        <v>32875670</v>
      </c>
      <c r="T42" s="124"/>
      <c r="U42" s="362"/>
    </row>
    <row r="43" spans="1:21" ht="15.75" x14ac:dyDescent="0.25">
      <c r="A43" s="101"/>
      <c r="B43" s="101"/>
      <c r="C43" s="101"/>
      <c r="D43" s="101"/>
      <c r="E43" s="103"/>
      <c r="F43" s="101"/>
      <c r="G43" s="101"/>
      <c r="H43" s="101"/>
      <c r="I43" s="101"/>
      <c r="J43" s="101"/>
      <c r="K43" s="101"/>
      <c r="L43" s="101"/>
      <c r="M43" s="101"/>
      <c r="N43" s="101"/>
      <c r="O43" s="101"/>
      <c r="P43" s="101"/>
      <c r="Q43" s="101"/>
      <c r="R43" s="101"/>
      <c r="S43" s="101"/>
      <c r="T43" s="101"/>
    </row>
    <row r="47" spans="1:21" ht="15.75" x14ac:dyDescent="0.25">
      <c r="B47" s="853"/>
      <c r="C47" s="853"/>
      <c r="D47" s="853"/>
      <c r="E47" s="101"/>
      <c r="F47" s="101"/>
      <c r="G47" s="126"/>
      <c r="H47" s="992"/>
      <c r="I47" s="992"/>
      <c r="J47" s="992"/>
      <c r="K47" s="992"/>
      <c r="L47" s="992"/>
      <c r="M47" s="992"/>
      <c r="N47" s="992"/>
      <c r="O47" s="101"/>
      <c r="P47" s="101"/>
      <c r="Q47" s="853"/>
      <c r="R47" s="853"/>
      <c r="S47" s="853"/>
    </row>
    <row r="48" spans="1:21" ht="15.75" x14ac:dyDescent="0.25">
      <c r="B48" s="854" t="s">
        <v>1056</v>
      </c>
      <c r="C48" s="854"/>
      <c r="D48" s="854"/>
      <c r="E48" s="101"/>
      <c r="F48" s="101"/>
      <c r="G48" s="128"/>
      <c r="H48" s="854" t="s">
        <v>536</v>
      </c>
      <c r="I48" s="854"/>
      <c r="J48" s="854"/>
      <c r="K48" s="854"/>
      <c r="L48" s="854"/>
      <c r="M48" s="854"/>
      <c r="N48" s="854"/>
      <c r="O48" s="101"/>
      <c r="P48" s="101"/>
      <c r="Q48" s="854" t="s">
        <v>537</v>
      </c>
      <c r="R48" s="854"/>
      <c r="S48" s="854"/>
    </row>
    <row r="49" spans="2:19" ht="15.75" x14ac:dyDescent="0.25">
      <c r="B49" s="851" t="s">
        <v>1057</v>
      </c>
      <c r="C49" s="851"/>
      <c r="D49" s="851"/>
      <c r="E49" s="101"/>
      <c r="F49" s="101"/>
      <c r="G49" s="128"/>
      <c r="H49" s="851" t="s">
        <v>546</v>
      </c>
      <c r="I49" s="851"/>
      <c r="J49" s="851"/>
      <c r="K49" s="851"/>
      <c r="L49" s="851"/>
      <c r="M49" s="851"/>
      <c r="N49" s="851"/>
      <c r="O49" s="101"/>
      <c r="P49" s="101"/>
      <c r="Q49" s="851" t="s">
        <v>538</v>
      </c>
      <c r="R49" s="851"/>
      <c r="S49" s="851"/>
    </row>
  </sheetData>
  <mergeCells count="57">
    <mergeCell ref="B13:U13"/>
    <mergeCell ref="B49:D49"/>
    <mergeCell ref="H49:N49"/>
    <mergeCell ref="Q49:S49"/>
    <mergeCell ref="B47:D47"/>
    <mergeCell ref="H47:N47"/>
    <mergeCell ref="Q47:S47"/>
    <mergeCell ref="B48:D48"/>
    <mergeCell ref="H48:N48"/>
    <mergeCell ref="Q48:S48"/>
    <mergeCell ref="U15:U16"/>
    <mergeCell ref="U33:U39"/>
    <mergeCell ref="T20:T21"/>
    <mergeCell ref="T22:T24"/>
    <mergeCell ref="A5:T5"/>
    <mergeCell ref="A8:U8"/>
    <mergeCell ref="A9:U9"/>
    <mergeCell ref="B11:U11"/>
    <mergeCell ref="B12:U12"/>
    <mergeCell ref="A17:A19"/>
    <mergeCell ref="S17:S19"/>
    <mergeCell ref="T18:T19"/>
    <mergeCell ref="A15:A16"/>
    <mergeCell ref="B15:B16"/>
    <mergeCell ref="C15:C16"/>
    <mergeCell ref="D15:E15"/>
    <mergeCell ref="F15:F16"/>
    <mergeCell ref="G15:I15"/>
    <mergeCell ref="J15:L15"/>
    <mergeCell ref="M15:O15"/>
    <mergeCell ref="P15:R15"/>
    <mergeCell ref="S15:S16"/>
    <mergeCell ref="T15:T16"/>
    <mergeCell ref="A20:A24"/>
    <mergeCell ref="C20:C24"/>
    <mergeCell ref="D20:D24"/>
    <mergeCell ref="E20:E24"/>
    <mergeCell ref="S20:S24"/>
    <mergeCell ref="A25:A27"/>
    <mergeCell ref="C25:C27"/>
    <mergeCell ref="S25:S27"/>
    <mergeCell ref="T25:T26"/>
    <mergeCell ref="A28:A30"/>
    <mergeCell ref="S28:S30"/>
    <mergeCell ref="T28:T30"/>
    <mergeCell ref="A40:A41"/>
    <mergeCell ref="A42:R42"/>
    <mergeCell ref="A31:A32"/>
    <mergeCell ref="S31:S32"/>
    <mergeCell ref="T31:T32"/>
    <mergeCell ref="A33:A39"/>
    <mergeCell ref="B33:B39"/>
    <mergeCell ref="C33:C39"/>
    <mergeCell ref="D33:D39"/>
    <mergeCell ref="E33:E39"/>
    <mergeCell ref="S33:S39"/>
    <mergeCell ref="T33:T39"/>
  </mergeCells>
  <pageMargins left="0.23622047244094491" right="0.23622047244094491" top="0.39370078740157483" bottom="0.39370078740157483" header="0.31496062992125984" footer="0.31496062992125984"/>
  <pageSetup paperSize="5" scale="40" fitToHeight="0" orientation="landscape" r:id="rId1"/>
  <headerFooter>
    <oddFooter>&amp;CPágina &amp;P de &amp;N</oddFooter>
  </headerFooter>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B88A9-A509-4D78-9E5F-90E6DF973E81}">
  <sheetPr codeName="Sheet18">
    <pageSetUpPr fitToPage="1"/>
  </sheetPr>
  <dimension ref="A14:BE68"/>
  <sheetViews>
    <sheetView topLeftCell="N49" zoomScale="59" zoomScaleNormal="59" workbookViewId="0">
      <selection activeCell="U24" activeCellId="1" sqref="E24:E59 U24:U59"/>
    </sheetView>
  </sheetViews>
  <sheetFormatPr defaultColWidth="11.42578125" defaultRowHeight="14.25" x14ac:dyDescent="0.2"/>
  <cols>
    <col min="1" max="1" width="47.42578125" style="2" customWidth="1"/>
    <col min="2" max="2" width="42.140625" style="24" customWidth="1"/>
    <col min="3" max="3" width="20.85546875" style="92" customWidth="1"/>
    <col min="4" max="4" width="26.7109375" style="2" customWidth="1"/>
    <col min="5" max="5" width="18.85546875" style="2" customWidth="1"/>
    <col min="6" max="7" width="17.42578125" style="2" customWidth="1"/>
    <col min="8" max="8" width="19.7109375" style="14" customWidth="1"/>
    <col min="9" max="20" width="22.42578125" style="2" customWidth="1"/>
    <col min="21" max="21" width="29.42578125" style="2" customWidth="1"/>
    <col min="22" max="22" width="37.85546875" style="2" customWidth="1"/>
    <col min="23" max="16384" width="11.42578125" style="2"/>
  </cols>
  <sheetData>
    <row r="14" spans="1:22" ht="28.5" customHeight="1" x14ac:dyDescent="0.25">
      <c r="A14" s="858" t="s">
        <v>230</v>
      </c>
      <c r="B14" s="858"/>
      <c r="C14" s="858"/>
      <c r="D14" s="858"/>
      <c r="E14" s="858"/>
      <c r="F14" s="858"/>
      <c r="G14" s="858"/>
      <c r="H14" s="858"/>
      <c r="I14" s="858"/>
      <c r="J14" s="858"/>
      <c r="K14" s="858"/>
      <c r="L14" s="858"/>
      <c r="M14" s="858"/>
      <c r="N14" s="858"/>
      <c r="O14" s="858"/>
      <c r="P14" s="858"/>
      <c r="Q14" s="858"/>
      <c r="R14" s="858"/>
      <c r="S14" s="858"/>
      <c r="T14" s="858"/>
      <c r="U14" s="858"/>
      <c r="V14" s="858"/>
    </row>
    <row r="15" spans="1:22" ht="19.5" x14ac:dyDescent="0.25">
      <c r="A15" s="858" t="s">
        <v>1</v>
      </c>
      <c r="B15" s="858"/>
      <c r="C15" s="858"/>
      <c r="D15" s="858"/>
      <c r="E15" s="858"/>
      <c r="F15" s="858"/>
      <c r="G15" s="858"/>
      <c r="H15" s="858"/>
      <c r="I15" s="858"/>
      <c r="J15" s="858"/>
      <c r="K15" s="858"/>
      <c r="L15" s="858"/>
      <c r="M15" s="858"/>
      <c r="N15" s="858"/>
      <c r="O15" s="858"/>
      <c r="P15" s="858"/>
      <c r="Q15" s="858"/>
      <c r="R15" s="858"/>
      <c r="S15" s="858"/>
      <c r="T15" s="858"/>
      <c r="U15" s="858"/>
      <c r="V15" s="858"/>
    </row>
    <row r="16" spans="1:22" ht="19.5" x14ac:dyDescent="0.25">
      <c r="A16" s="858" t="s">
        <v>42</v>
      </c>
      <c r="B16" s="858"/>
      <c r="C16" s="858"/>
      <c r="D16" s="858"/>
      <c r="E16" s="858"/>
      <c r="F16" s="858"/>
      <c r="G16" s="858"/>
      <c r="H16" s="858"/>
      <c r="I16" s="858"/>
      <c r="J16" s="858"/>
      <c r="K16" s="858"/>
      <c r="L16" s="858"/>
      <c r="M16" s="858"/>
      <c r="N16" s="858"/>
      <c r="O16" s="858"/>
      <c r="P16" s="858"/>
      <c r="Q16" s="858"/>
      <c r="R16" s="858"/>
      <c r="S16" s="858"/>
      <c r="T16" s="858"/>
      <c r="U16" s="858"/>
      <c r="V16" s="858"/>
    </row>
    <row r="17" spans="1:57" ht="19.5" x14ac:dyDescent="0.25">
      <c r="A17" s="1"/>
      <c r="B17" s="1"/>
      <c r="C17" s="1"/>
      <c r="D17" s="1"/>
      <c r="E17" s="1"/>
      <c r="F17" s="1"/>
      <c r="G17" s="1"/>
      <c r="H17" s="1"/>
      <c r="I17" s="1"/>
      <c r="J17" s="1"/>
      <c r="K17" s="1"/>
      <c r="L17" s="1"/>
      <c r="M17" s="1"/>
      <c r="N17" s="1"/>
      <c r="O17" s="1"/>
      <c r="P17" s="1"/>
      <c r="Q17" s="1"/>
      <c r="R17" s="1"/>
      <c r="S17" s="1"/>
      <c r="T17" s="1"/>
      <c r="U17" s="1"/>
      <c r="V17" s="1"/>
    </row>
    <row r="18" spans="1:57" ht="15" x14ac:dyDescent="0.2">
      <c r="A18" s="100" t="s">
        <v>2</v>
      </c>
      <c r="B18" s="848" t="s">
        <v>185</v>
      </c>
      <c r="C18" s="848"/>
      <c r="D18" s="848"/>
      <c r="E18" s="848"/>
      <c r="F18" s="848"/>
      <c r="G18" s="848"/>
      <c r="H18" s="848"/>
      <c r="I18" s="848"/>
      <c r="J18" s="848"/>
      <c r="K18" s="848"/>
      <c r="L18" s="848"/>
      <c r="M18" s="848"/>
      <c r="N18" s="848"/>
      <c r="O18" s="848"/>
      <c r="P18" s="848"/>
      <c r="Q18" s="848"/>
      <c r="R18" s="848"/>
      <c r="S18" s="848"/>
      <c r="T18" s="848"/>
      <c r="U18" s="848"/>
      <c r="V18" s="848"/>
    </row>
    <row r="19" spans="1:57" ht="15" x14ac:dyDescent="0.2">
      <c r="A19" s="100" t="s">
        <v>186</v>
      </c>
      <c r="B19" s="848" t="s">
        <v>187</v>
      </c>
      <c r="C19" s="848"/>
      <c r="D19" s="848"/>
      <c r="E19" s="848"/>
      <c r="F19" s="848"/>
      <c r="G19" s="848"/>
      <c r="H19" s="848"/>
      <c r="I19" s="848"/>
      <c r="J19" s="848"/>
      <c r="K19" s="848"/>
      <c r="L19" s="848"/>
      <c r="M19" s="848"/>
      <c r="N19" s="848"/>
      <c r="O19" s="848"/>
      <c r="P19" s="848"/>
      <c r="Q19" s="848"/>
      <c r="R19" s="848"/>
      <c r="S19" s="848"/>
      <c r="T19" s="848"/>
      <c r="U19" s="848"/>
      <c r="V19" s="848"/>
    </row>
    <row r="20" spans="1:57" ht="15" x14ac:dyDescent="0.2">
      <c r="A20" s="100" t="s">
        <v>188</v>
      </c>
      <c r="B20" s="848" t="s">
        <v>189</v>
      </c>
      <c r="C20" s="848"/>
      <c r="D20" s="848"/>
      <c r="E20" s="848"/>
      <c r="F20" s="848"/>
      <c r="G20" s="848"/>
      <c r="H20" s="848"/>
      <c r="I20" s="848"/>
      <c r="J20" s="848"/>
      <c r="K20" s="848"/>
      <c r="L20" s="848"/>
      <c r="M20" s="848"/>
      <c r="N20" s="848"/>
      <c r="O20" s="848"/>
      <c r="P20" s="848"/>
      <c r="Q20" s="848"/>
      <c r="R20" s="848"/>
      <c r="S20" s="848"/>
      <c r="T20" s="848"/>
      <c r="U20" s="848"/>
      <c r="V20" s="848"/>
    </row>
    <row r="21" spans="1:57" ht="15" x14ac:dyDescent="0.2">
      <c r="A21" s="101"/>
      <c r="B21" s="102"/>
      <c r="C21" s="284"/>
      <c r="D21" s="101"/>
      <c r="E21" s="101"/>
      <c r="F21" s="101"/>
      <c r="G21" s="101"/>
      <c r="H21" s="103"/>
      <c r="I21" s="101"/>
      <c r="J21" s="101"/>
      <c r="K21" s="101"/>
      <c r="L21" s="101"/>
      <c r="M21" s="101"/>
      <c r="N21" s="101"/>
      <c r="O21" s="101"/>
      <c r="P21" s="101"/>
      <c r="Q21" s="101"/>
      <c r="R21" s="101"/>
      <c r="S21" s="101"/>
      <c r="T21" s="101"/>
      <c r="U21" s="101"/>
      <c r="V21" s="101"/>
    </row>
    <row r="22" spans="1:57" ht="18.75" customHeight="1" x14ac:dyDescent="0.2">
      <c r="A22" s="845" t="s">
        <v>6</v>
      </c>
      <c r="B22" s="845" t="s">
        <v>10</v>
      </c>
      <c r="C22" s="1008" t="s">
        <v>43</v>
      </c>
      <c r="D22" s="845" t="s">
        <v>44</v>
      </c>
      <c r="E22" s="856" t="s">
        <v>45</v>
      </c>
      <c r="F22" s="845" t="s">
        <v>46</v>
      </c>
      <c r="G22" s="845" t="s">
        <v>47</v>
      </c>
      <c r="H22" s="845" t="s">
        <v>231</v>
      </c>
      <c r="I22" s="847" t="s">
        <v>11</v>
      </c>
      <c r="J22" s="847"/>
      <c r="K22" s="847"/>
      <c r="L22" s="847" t="s">
        <v>12</v>
      </c>
      <c r="M22" s="847"/>
      <c r="N22" s="847"/>
      <c r="O22" s="847" t="s">
        <v>13</v>
      </c>
      <c r="P22" s="847"/>
      <c r="Q22" s="847"/>
      <c r="R22" s="847" t="s">
        <v>14</v>
      </c>
      <c r="S22" s="847"/>
      <c r="T22" s="847"/>
      <c r="U22" s="845" t="s">
        <v>15</v>
      </c>
      <c r="V22" s="845" t="s">
        <v>232</v>
      </c>
    </row>
    <row r="23" spans="1:57" s="4" customFormat="1" ht="32.25" customHeight="1" x14ac:dyDescent="0.25">
      <c r="A23" s="845"/>
      <c r="B23" s="845"/>
      <c r="C23" s="1008"/>
      <c r="D23" s="845"/>
      <c r="E23" s="857"/>
      <c r="F23" s="845"/>
      <c r="G23" s="845"/>
      <c r="H23" s="845"/>
      <c r="I23" s="96" t="s">
        <v>19</v>
      </c>
      <c r="J23" s="96" t="s">
        <v>20</v>
      </c>
      <c r="K23" s="96" t="s">
        <v>21</v>
      </c>
      <c r="L23" s="96" t="s">
        <v>22</v>
      </c>
      <c r="M23" s="96" t="s">
        <v>23</v>
      </c>
      <c r="N23" s="96" t="s">
        <v>24</v>
      </c>
      <c r="O23" s="96" t="s">
        <v>25</v>
      </c>
      <c r="P23" s="96" t="s">
        <v>26</v>
      </c>
      <c r="Q23" s="96" t="s">
        <v>27</v>
      </c>
      <c r="R23" s="96" t="s">
        <v>28</v>
      </c>
      <c r="S23" s="96" t="s">
        <v>29</v>
      </c>
      <c r="T23" s="96" t="s">
        <v>30</v>
      </c>
      <c r="U23" s="845"/>
      <c r="V23" s="845"/>
    </row>
    <row r="24" spans="1:57" ht="60.75" customHeight="1" x14ac:dyDescent="0.2">
      <c r="A24" s="987" t="s">
        <v>1002</v>
      </c>
      <c r="B24" s="987" t="s">
        <v>1034</v>
      </c>
      <c r="C24" s="285" t="s">
        <v>486</v>
      </c>
      <c r="D24" s="107" t="s">
        <v>233</v>
      </c>
      <c r="E24" s="107" t="s">
        <v>234</v>
      </c>
      <c r="F24" s="108" t="s">
        <v>235</v>
      </c>
      <c r="G24" s="108" t="s">
        <v>236</v>
      </c>
      <c r="H24" s="286" t="s">
        <v>236</v>
      </c>
      <c r="I24" s="286" t="s">
        <v>77</v>
      </c>
      <c r="J24" s="286" t="s">
        <v>77</v>
      </c>
      <c r="K24" s="286">
        <f>90000</f>
        <v>90000</v>
      </c>
      <c r="L24" s="286"/>
      <c r="M24" s="286" t="s">
        <v>77</v>
      </c>
      <c r="N24" s="286">
        <f>150000+64680+320000+120000</f>
        <v>654680</v>
      </c>
      <c r="O24" s="286"/>
      <c r="P24" s="286" t="s">
        <v>77</v>
      </c>
      <c r="Q24" s="286">
        <f>126990+160000+120000+150000</f>
        <v>556990</v>
      </c>
      <c r="R24" s="286" t="s">
        <v>77</v>
      </c>
      <c r="S24" s="286" t="s">
        <v>77</v>
      </c>
      <c r="T24" s="286" t="s">
        <v>77</v>
      </c>
      <c r="U24" s="287">
        <f>SUM(I24:T24)</f>
        <v>1301670</v>
      </c>
      <c r="V24" s="1005"/>
    </row>
    <row r="25" spans="1:57" ht="56.25" customHeight="1" x14ac:dyDescent="0.2">
      <c r="A25" s="987"/>
      <c r="B25" s="987"/>
      <c r="C25" s="285" t="s">
        <v>486</v>
      </c>
      <c r="D25" s="107" t="s">
        <v>237</v>
      </c>
      <c r="E25" s="107" t="s">
        <v>238</v>
      </c>
      <c r="F25" s="108" t="s">
        <v>131</v>
      </c>
      <c r="G25" s="108" t="s">
        <v>236</v>
      </c>
      <c r="H25" s="286" t="s">
        <v>236</v>
      </c>
      <c r="I25" s="286" t="s">
        <v>77</v>
      </c>
      <c r="J25" s="286" t="s">
        <v>77</v>
      </c>
      <c r="K25" s="286">
        <v>50000</v>
      </c>
      <c r="L25" s="286">
        <v>75000</v>
      </c>
      <c r="M25" s="286" t="s">
        <v>77</v>
      </c>
      <c r="N25" s="286" t="s">
        <v>77</v>
      </c>
      <c r="O25" s="286">
        <v>50000</v>
      </c>
      <c r="P25" s="286" t="s">
        <v>77</v>
      </c>
      <c r="Q25" s="286" t="s">
        <v>77</v>
      </c>
      <c r="R25" s="286" t="s">
        <v>77</v>
      </c>
      <c r="S25" s="286" t="s">
        <v>77</v>
      </c>
      <c r="T25" s="286" t="s">
        <v>77</v>
      </c>
      <c r="U25" s="287">
        <f t="shared" ref="U25:U59" si="0">SUM(I25:T25)</f>
        <v>175000</v>
      </c>
      <c r="V25" s="1007"/>
    </row>
    <row r="26" spans="1:57" ht="54.75" customHeight="1" x14ac:dyDescent="0.2">
      <c r="A26" s="206" t="s">
        <v>1035</v>
      </c>
      <c r="B26" s="121" t="s">
        <v>1036</v>
      </c>
      <c r="C26" s="206" t="s">
        <v>486</v>
      </c>
      <c r="D26" s="115" t="s">
        <v>239</v>
      </c>
      <c r="E26" s="115" t="s">
        <v>238</v>
      </c>
      <c r="F26" s="115" t="s">
        <v>131</v>
      </c>
      <c r="G26" s="288">
        <v>30</v>
      </c>
      <c r="H26" s="289">
        <v>550</v>
      </c>
      <c r="I26" s="289" t="s">
        <v>77</v>
      </c>
      <c r="J26" s="289" t="s">
        <v>77</v>
      </c>
      <c r="K26" s="289" t="s">
        <v>77</v>
      </c>
      <c r="L26" s="289" t="s">
        <v>77</v>
      </c>
      <c r="M26" s="289">
        <f>G26*H26</f>
        <v>16500</v>
      </c>
      <c r="N26" s="289" t="s">
        <v>77</v>
      </c>
      <c r="O26" s="289" t="s">
        <v>77</v>
      </c>
      <c r="P26" s="289" t="s">
        <v>77</v>
      </c>
      <c r="Q26" s="289" t="s">
        <v>77</v>
      </c>
      <c r="R26" s="289" t="s">
        <v>77</v>
      </c>
      <c r="S26" s="289" t="s">
        <v>77</v>
      </c>
      <c r="T26" s="289" t="s">
        <v>77</v>
      </c>
      <c r="U26" s="290">
        <f t="shared" si="0"/>
        <v>16500</v>
      </c>
      <c r="V26" s="291"/>
    </row>
    <row r="27" spans="1:57" s="21" customFormat="1" ht="45" customHeight="1" x14ac:dyDescent="0.2">
      <c r="A27" s="987" t="s">
        <v>1037</v>
      </c>
      <c r="B27" s="985" t="s">
        <v>1038</v>
      </c>
      <c r="C27" s="152" t="s">
        <v>50</v>
      </c>
      <c r="D27" s="107" t="s">
        <v>240</v>
      </c>
      <c r="E27" s="107" t="s">
        <v>241</v>
      </c>
      <c r="F27" s="107" t="s">
        <v>242</v>
      </c>
      <c r="G27" s="292">
        <v>1</v>
      </c>
      <c r="H27" s="286">
        <v>14000000</v>
      </c>
      <c r="I27" s="286" t="s">
        <v>77</v>
      </c>
      <c r="J27" s="286" t="s">
        <v>77</v>
      </c>
      <c r="K27" s="286" t="s">
        <v>77</v>
      </c>
      <c r="L27" s="286" t="s">
        <v>77</v>
      </c>
      <c r="M27" s="286" t="s">
        <v>77</v>
      </c>
      <c r="N27" s="286">
        <v>14000000</v>
      </c>
      <c r="O27" s="286" t="s">
        <v>77</v>
      </c>
      <c r="P27" s="286" t="s">
        <v>77</v>
      </c>
      <c r="Q27" s="286" t="s">
        <v>77</v>
      </c>
      <c r="R27" s="286" t="s">
        <v>77</v>
      </c>
      <c r="S27" s="286" t="s">
        <v>77</v>
      </c>
      <c r="T27" s="286" t="s">
        <v>77</v>
      </c>
      <c r="U27" s="287">
        <f t="shared" si="0"/>
        <v>14000000</v>
      </c>
      <c r="V27" s="998"/>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0"/>
    </row>
    <row r="28" spans="1:57" s="21" customFormat="1" ht="57.75" customHeight="1" x14ac:dyDescent="0.2">
      <c r="A28" s="987"/>
      <c r="B28" s="997"/>
      <c r="C28" s="152" t="s">
        <v>486</v>
      </c>
      <c r="D28" s="107" t="s">
        <v>243</v>
      </c>
      <c r="E28" s="107" t="s">
        <v>143</v>
      </c>
      <c r="F28" s="107" t="s">
        <v>244</v>
      </c>
      <c r="G28" s="292">
        <v>300</v>
      </c>
      <c r="H28" s="286">
        <v>1000</v>
      </c>
      <c r="I28" s="286" t="s">
        <v>77</v>
      </c>
      <c r="J28" s="286" t="s">
        <v>77</v>
      </c>
      <c r="K28" s="286" t="s">
        <v>77</v>
      </c>
      <c r="L28" s="286" t="s">
        <v>77</v>
      </c>
      <c r="M28" s="286" t="s">
        <v>77</v>
      </c>
      <c r="N28" s="286" t="s">
        <v>77</v>
      </c>
      <c r="O28" s="286" t="s">
        <v>77</v>
      </c>
      <c r="P28" s="286" t="s">
        <v>77</v>
      </c>
      <c r="Q28" s="286" t="s">
        <v>77</v>
      </c>
      <c r="R28" s="286" t="s">
        <v>77</v>
      </c>
      <c r="S28" s="286">
        <f>+G28*H28</f>
        <v>300000</v>
      </c>
      <c r="T28" s="286" t="s">
        <v>77</v>
      </c>
      <c r="U28" s="287">
        <f t="shared" si="0"/>
        <v>300000</v>
      </c>
      <c r="V28" s="999"/>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0"/>
    </row>
    <row r="29" spans="1:57" ht="45" x14ac:dyDescent="0.2">
      <c r="A29" s="1000" t="s">
        <v>1020</v>
      </c>
      <c r="B29" s="1000" t="s">
        <v>1039</v>
      </c>
      <c r="C29" s="202" t="s">
        <v>486</v>
      </c>
      <c r="D29" s="178" t="s">
        <v>245</v>
      </c>
      <c r="E29" s="178" t="s">
        <v>143</v>
      </c>
      <c r="F29" s="178" t="s">
        <v>131</v>
      </c>
      <c r="G29" s="607">
        <v>120</v>
      </c>
      <c r="H29" s="605">
        <v>600</v>
      </c>
      <c r="I29" s="605" t="s">
        <v>77</v>
      </c>
      <c r="J29" s="605" t="s">
        <v>77</v>
      </c>
      <c r="K29" s="605" t="s">
        <v>77</v>
      </c>
      <c r="L29" s="605" t="s">
        <v>77</v>
      </c>
      <c r="M29" s="605" t="s">
        <v>77</v>
      </c>
      <c r="N29" s="605" t="s">
        <v>77</v>
      </c>
      <c r="O29" s="605" t="s">
        <v>77</v>
      </c>
      <c r="P29" s="605" t="s">
        <v>77</v>
      </c>
      <c r="Q29" s="605">
        <f>+H29*30</f>
        <v>18000</v>
      </c>
      <c r="R29" s="605" t="s">
        <v>77</v>
      </c>
      <c r="S29" s="605" t="s">
        <v>77</v>
      </c>
      <c r="T29" s="605"/>
      <c r="U29" s="606">
        <f t="shared" si="0"/>
        <v>18000</v>
      </c>
      <c r="V29" s="1001"/>
    </row>
    <row r="30" spans="1:57" ht="45" x14ac:dyDescent="0.2">
      <c r="A30" s="1000"/>
      <c r="B30" s="1000"/>
      <c r="C30" s="202" t="s">
        <v>486</v>
      </c>
      <c r="D30" s="118" t="s">
        <v>246</v>
      </c>
      <c r="E30" s="118" t="s">
        <v>238</v>
      </c>
      <c r="F30" s="118" t="s">
        <v>131</v>
      </c>
      <c r="G30" s="288">
        <v>30</v>
      </c>
      <c r="H30" s="289">
        <v>450</v>
      </c>
      <c r="I30" s="289">
        <f>G30*H30</f>
        <v>13500</v>
      </c>
      <c r="J30" s="289" t="s">
        <v>77</v>
      </c>
      <c r="K30" s="289" t="s">
        <v>77</v>
      </c>
      <c r="L30" s="289">
        <f>G30*H30</f>
        <v>13500</v>
      </c>
      <c r="M30" s="289" t="s">
        <v>77</v>
      </c>
      <c r="N30" s="289" t="s">
        <v>77</v>
      </c>
      <c r="O30" s="289">
        <f>G30*H30</f>
        <v>13500</v>
      </c>
      <c r="P30" s="289" t="s">
        <v>77</v>
      </c>
      <c r="Q30" s="289" t="s">
        <v>77</v>
      </c>
      <c r="R30" s="289">
        <f>G30*H30</f>
        <v>13500</v>
      </c>
      <c r="S30" s="289" t="s">
        <v>77</v>
      </c>
      <c r="T30" s="289" t="s">
        <v>77</v>
      </c>
      <c r="U30" s="290">
        <f t="shared" si="0"/>
        <v>54000</v>
      </c>
      <c r="V30" s="1002"/>
    </row>
    <row r="31" spans="1:57" ht="45" x14ac:dyDescent="0.2">
      <c r="A31" s="1000"/>
      <c r="B31" s="1000"/>
      <c r="C31" s="202" t="s">
        <v>486</v>
      </c>
      <c r="D31" s="118" t="s">
        <v>247</v>
      </c>
      <c r="E31" s="118" t="s">
        <v>143</v>
      </c>
      <c r="F31" s="118" t="s">
        <v>131</v>
      </c>
      <c r="G31" s="288">
        <v>1</v>
      </c>
      <c r="H31" s="289"/>
      <c r="I31" s="289" t="s">
        <v>77</v>
      </c>
      <c r="J31" s="289" t="s">
        <v>77</v>
      </c>
      <c r="K31" s="289" t="s">
        <v>77</v>
      </c>
      <c r="L31" s="289" t="s">
        <v>77</v>
      </c>
      <c r="M31" s="289" t="s">
        <v>77</v>
      </c>
      <c r="N31" s="289" t="s">
        <v>77</v>
      </c>
      <c r="O31" s="289" t="s">
        <v>77</v>
      </c>
      <c r="P31" s="289" t="s">
        <v>77</v>
      </c>
      <c r="Q31" s="289" t="s">
        <v>77</v>
      </c>
      <c r="R31" s="289" t="s">
        <v>77</v>
      </c>
      <c r="S31" s="289" t="s">
        <v>77</v>
      </c>
      <c r="T31" s="289">
        <v>6000</v>
      </c>
      <c r="U31" s="290">
        <f t="shared" si="0"/>
        <v>6000</v>
      </c>
      <c r="V31" s="1002"/>
    </row>
    <row r="32" spans="1:57" ht="45" x14ac:dyDescent="0.2">
      <c r="A32" s="1000"/>
      <c r="B32" s="121" t="s">
        <v>1040</v>
      </c>
      <c r="C32" s="202" t="s">
        <v>486</v>
      </c>
      <c r="D32" s="118" t="s">
        <v>248</v>
      </c>
      <c r="E32" s="118" t="s">
        <v>143</v>
      </c>
      <c r="F32" s="118" t="s">
        <v>249</v>
      </c>
      <c r="G32" s="288" t="s">
        <v>249</v>
      </c>
      <c r="H32" s="289">
        <v>8000</v>
      </c>
      <c r="I32" s="289" t="s">
        <v>77</v>
      </c>
      <c r="J32" s="289" t="s">
        <v>77</v>
      </c>
      <c r="K32" s="289">
        <v>8000</v>
      </c>
      <c r="L32" s="289" t="s">
        <v>77</v>
      </c>
      <c r="M32" s="289" t="s">
        <v>77</v>
      </c>
      <c r="N32" s="289">
        <v>8000</v>
      </c>
      <c r="O32" s="289" t="s">
        <v>77</v>
      </c>
      <c r="P32" s="289" t="s">
        <v>77</v>
      </c>
      <c r="Q32" s="289">
        <v>8000</v>
      </c>
      <c r="R32" s="289" t="s">
        <v>77</v>
      </c>
      <c r="S32" s="289" t="s">
        <v>77</v>
      </c>
      <c r="T32" s="289" t="s">
        <v>77</v>
      </c>
      <c r="U32" s="290">
        <f t="shared" si="0"/>
        <v>24000</v>
      </c>
      <c r="V32" s="1003"/>
    </row>
    <row r="33" spans="1:23" ht="48.75" customHeight="1" x14ac:dyDescent="0.2">
      <c r="A33" s="987" t="s">
        <v>1041</v>
      </c>
      <c r="B33" s="281" t="s">
        <v>1024</v>
      </c>
      <c r="C33" s="281" t="s">
        <v>486</v>
      </c>
      <c r="D33" s="107" t="s">
        <v>250</v>
      </c>
      <c r="E33" s="107" t="s">
        <v>52</v>
      </c>
      <c r="F33" s="107">
        <v>1</v>
      </c>
      <c r="G33" s="107">
        <v>40</v>
      </c>
      <c r="H33" s="286">
        <v>2500</v>
      </c>
      <c r="I33" s="286" t="s">
        <v>77</v>
      </c>
      <c r="J33" s="286" t="s">
        <v>77</v>
      </c>
      <c r="K33" s="293">
        <f>G33*H33</f>
        <v>100000</v>
      </c>
      <c r="L33" s="294" t="s">
        <v>77</v>
      </c>
      <c r="M33" s="294" t="s">
        <v>77</v>
      </c>
      <c r="N33" s="294" t="s">
        <v>77</v>
      </c>
      <c r="O33" s="294" t="s">
        <v>77</v>
      </c>
      <c r="P33" s="294" t="s">
        <v>77</v>
      </c>
      <c r="Q33" s="294" t="s">
        <v>77</v>
      </c>
      <c r="R33" s="294" t="s">
        <v>77</v>
      </c>
      <c r="S33" s="294" t="s">
        <v>77</v>
      </c>
      <c r="T33" s="294" t="s">
        <v>77</v>
      </c>
      <c r="U33" s="287">
        <f t="shared" si="0"/>
        <v>100000</v>
      </c>
      <c r="V33" s="1005"/>
      <c r="W33" s="22"/>
    </row>
    <row r="34" spans="1:23" ht="45" x14ac:dyDescent="0.2">
      <c r="A34" s="987"/>
      <c r="B34" s="985" t="s">
        <v>1025</v>
      </c>
      <c r="C34" s="281" t="s">
        <v>486</v>
      </c>
      <c r="D34" s="107" t="s">
        <v>251</v>
      </c>
      <c r="E34" s="107" t="s">
        <v>252</v>
      </c>
      <c r="F34" s="107">
        <v>1</v>
      </c>
      <c r="G34" s="292">
        <v>200</v>
      </c>
      <c r="H34" s="293">
        <v>1000</v>
      </c>
      <c r="I34" s="286" t="s">
        <v>77</v>
      </c>
      <c r="J34" s="286" t="s">
        <v>77</v>
      </c>
      <c r="K34" s="294" t="s">
        <v>77</v>
      </c>
      <c r="L34" s="294" t="s">
        <v>77</v>
      </c>
      <c r="M34" s="286">
        <f>G34*H34</f>
        <v>200000</v>
      </c>
      <c r="N34" s="294" t="s">
        <v>77</v>
      </c>
      <c r="O34" s="294" t="s">
        <v>77</v>
      </c>
      <c r="P34" s="294" t="s">
        <v>77</v>
      </c>
      <c r="Q34" s="294" t="s">
        <v>77</v>
      </c>
      <c r="R34" s="294" t="s">
        <v>77</v>
      </c>
      <c r="S34" s="294" t="s">
        <v>77</v>
      </c>
      <c r="T34" s="294" t="s">
        <v>77</v>
      </c>
      <c r="U34" s="287">
        <f t="shared" si="0"/>
        <v>200000</v>
      </c>
      <c r="V34" s="1006"/>
      <c r="W34" s="23"/>
    </row>
    <row r="35" spans="1:23" ht="45" x14ac:dyDescent="0.2">
      <c r="A35" s="987"/>
      <c r="B35" s="986"/>
      <c r="C35" s="281" t="s">
        <v>486</v>
      </c>
      <c r="D35" s="107" t="s">
        <v>253</v>
      </c>
      <c r="E35" s="107" t="s">
        <v>254</v>
      </c>
      <c r="F35" s="107" t="s">
        <v>131</v>
      </c>
      <c r="G35" s="292">
        <v>1</v>
      </c>
      <c r="H35" s="293">
        <v>3000</v>
      </c>
      <c r="I35" s="286" t="s">
        <v>77</v>
      </c>
      <c r="J35" s="286" t="s">
        <v>77</v>
      </c>
      <c r="K35" s="294" t="s">
        <v>77</v>
      </c>
      <c r="L35" s="294" t="s">
        <v>77</v>
      </c>
      <c r="M35" s="294" t="s">
        <v>77</v>
      </c>
      <c r="N35" s="294">
        <f t="shared" ref="N35" si="1">G35*H35</f>
        <v>3000</v>
      </c>
      <c r="O35" s="294" t="s">
        <v>77</v>
      </c>
      <c r="P35" s="294" t="s">
        <v>77</v>
      </c>
      <c r="Q35" s="294" t="s">
        <v>77</v>
      </c>
      <c r="R35" s="294" t="s">
        <v>77</v>
      </c>
      <c r="S35" s="294" t="s">
        <v>77</v>
      </c>
      <c r="T35" s="294" t="s">
        <v>77</v>
      </c>
      <c r="U35" s="287">
        <f t="shared" si="0"/>
        <v>3000</v>
      </c>
      <c r="V35" s="1006"/>
    </row>
    <row r="36" spans="1:23" ht="45" x14ac:dyDescent="0.2">
      <c r="A36" s="987"/>
      <c r="B36" s="997"/>
      <c r="C36" s="281" t="s">
        <v>486</v>
      </c>
      <c r="D36" s="107" t="s">
        <v>255</v>
      </c>
      <c r="E36" s="107" t="s">
        <v>143</v>
      </c>
      <c r="F36" s="107" t="s">
        <v>249</v>
      </c>
      <c r="G36" s="107" t="s">
        <v>249</v>
      </c>
      <c r="H36" s="293">
        <v>5000</v>
      </c>
      <c r="I36" s="286" t="s">
        <v>77</v>
      </c>
      <c r="J36" s="286" t="s">
        <v>77</v>
      </c>
      <c r="K36" s="294" t="s">
        <v>77</v>
      </c>
      <c r="L36" s="294" t="s">
        <v>77</v>
      </c>
      <c r="M36" s="294">
        <f>H36</f>
        <v>5000</v>
      </c>
      <c r="N36" s="294" t="s">
        <v>77</v>
      </c>
      <c r="O36" s="294" t="s">
        <v>77</v>
      </c>
      <c r="P36" s="294" t="s">
        <v>77</v>
      </c>
      <c r="Q36" s="294" t="s">
        <v>77</v>
      </c>
      <c r="R36" s="294" t="s">
        <v>77</v>
      </c>
      <c r="S36" s="294" t="s">
        <v>77</v>
      </c>
      <c r="T36" s="294" t="s">
        <v>77</v>
      </c>
      <c r="U36" s="287">
        <f t="shared" si="0"/>
        <v>5000</v>
      </c>
      <c r="V36" s="1006"/>
    </row>
    <row r="37" spans="1:23" ht="58.5" customHeight="1" x14ac:dyDescent="0.2">
      <c r="A37" s="987"/>
      <c r="B37" s="987" t="s">
        <v>1026</v>
      </c>
      <c r="C37" s="281" t="s">
        <v>486</v>
      </c>
      <c r="D37" s="107" t="s">
        <v>255</v>
      </c>
      <c r="E37" s="107" t="s">
        <v>143</v>
      </c>
      <c r="F37" s="107" t="s">
        <v>249</v>
      </c>
      <c r="G37" s="107" t="s">
        <v>249</v>
      </c>
      <c r="H37" s="293">
        <v>5000</v>
      </c>
      <c r="I37" s="286" t="s">
        <v>77</v>
      </c>
      <c r="J37" s="286" t="s">
        <v>77</v>
      </c>
      <c r="K37" s="294" t="s">
        <v>77</v>
      </c>
      <c r="L37" s="294" t="s">
        <v>77</v>
      </c>
      <c r="M37" s="294" t="s">
        <v>77</v>
      </c>
      <c r="N37" s="294" t="s">
        <v>77</v>
      </c>
      <c r="O37" s="294">
        <f>H37</f>
        <v>5000</v>
      </c>
      <c r="P37" s="294" t="s">
        <v>77</v>
      </c>
      <c r="Q37" s="294" t="s">
        <v>77</v>
      </c>
      <c r="R37" s="294" t="s">
        <v>77</v>
      </c>
      <c r="S37" s="294" t="s">
        <v>77</v>
      </c>
      <c r="T37" s="294" t="s">
        <v>77</v>
      </c>
      <c r="U37" s="287">
        <f t="shared" si="0"/>
        <v>5000</v>
      </c>
      <c r="V37" s="1006"/>
    </row>
    <row r="38" spans="1:23" ht="51" customHeight="1" x14ac:dyDescent="0.2">
      <c r="A38" s="987"/>
      <c r="B38" s="987"/>
      <c r="C38" s="281" t="s">
        <v>486</v>
      </c>
      <c r="D38" s="107" t="s">
        <v>253</v>
      </c>
      <c r="E38" s="107" t="s">
        <v>254</v>
      </c>
      <c r="F38" s="107" t="s">
        <v>131</v>
      </c>
      <c r="G38" s="292">
        <v>1</v>
      </c>
      <c r="H38" s="293">
        <v>3000</v>
      </c>
      <c r="I38" s="286" t="s">
        <v>77</v>
      </c>
      <c r="J38" s="286" t="s">
        <v>77</v>
      </c>
      <c r="K38" s="294" t="s">
        <v>77</v>
      </c>
      <c r="L38" s="294" t="s">
        <v>77</v>
      </c>
      <c r="M38" s="294" t="s">
        <v>77</v>
      </c>
      <c r="N38" s="294">
        <f t="shared" ref="N38:N39" si="2">G38*H38</f>
        <v>3000</v>
      </c>
      <c r="O38" s="294" t="s">
        <v>77</v>
      </c>
      <c r="P38" s="294" t="s">
        <v>77</v>
      </c>
      <c r="Q38" s="294" t="s">
        <v>77</v>
      </c>
      <c r="R38" s="294" t="s">
        <v>77</v>
      </c>
      <c r="S38" s="294" t="s">
        <v>77</v>
      </c>
      <c r="T38" s="294" t="s">
        <v>77</v>
      </c>
      <c r="U38" s="287">
        <f t="shared" si="0"/>
        <v>3000</v>
      </c>
      <c r="V38" s="1006"/>
    </row>
    <row r="39" spans="1:23" ht="55.5" customHeight="1" x14ac:dyDescent="0.2">
      <c r="A39" s="987"/>
      <c r="B39" s="987"/>
      <c r="C39" s="281" t="s">
        <v>486</v>
      </c>
      <c r="D39" s="107" t="s">
        <v>256</v>
      </c>
      <c r="E39" s="107" t="s">
        <v>179</v>
      </c>
      <c r="F39" s="107" t="s">
        <v>249</v>
      </c>
      <c r="G39" s="292">
        <v>201</v>
      </c>
      <c r="H39" s="293">
        <v>1000</v>
      </c>
      <c r="I39" s="286" t="s">
        <v>77</v>
      </c>
      <c r="J39" s="286" t="s">
        <v>77</v>
      </c>
      <c r="K39" s="294" t="s">
        <v>77</v>
      </c>
      <c r="L39" s="294" t="s">
        <v>77</v>
      </c>
      <c r="M39" s="294" t="s">
        <v>77</v>
      </c>
      <c r="N39" s="286">
        <f t="shared" si="2"/>
        <v>201000</v>
      </c>
      <c r="O39" s="294" t="s">
        <v>77</v>
      </c>
      <c r="P39" s="294" t="s">
        <v>77</v>
      </c>
      <c r="Q39" s="294" t="s">
        <v>77</v>
      </c>
      <c r="R39" s="294" t="s">
        <v>77</v>
      </c>
      <c r="S39" s="294" t="s">
        <v>77</v>
      </c>
      <c r="T39" s="294" t="s">
        <v>77</v>
      </c>
      <c r="U39" s="287">
        <f t="shared" si="0"/>
        <v>201000</v>
      </c>
      <c r="V39" s="1006"/>
    </row>
    <row r="40" spans="1:23" ht="55.5" customHeight="1" x14ac:dyDescent="0.2">
      <c r="A40" s="987"/>
      <c r="B40" s="987" t="s">
        <v>1042</v>
      </c>
      <c r="C40" s="281" t="s">
        <v>486</v>
      </c>
      <c r="D40" s="107" t="s">
        <v>239</v>
      </c>
      <c r="E40" s="107" t="s">
        <v>238</v>
      </c>
      <c r="F40" s="107" t="s">
        <v>249</v>
      </c>
      <c r="G40" s="292">
        <v>150</v>
      </c>
      <c r="H40" s="293">
        <v>1000</v>
      </c>
      <c r="I40" s="286" t="s">
        <v>77</v>
      </c>
      <c r="J40" s="286" t="s">
        <v>77</v>
      </c>
      <c r="K40" s="294" t="s">
        <v>77</v>
      </c>
      <c r="L40" s="294" t="s">
        <v>77</v>
      </c>
      <c r="M40" s="294" t="s">
        <v>77</v>
      </c>
      <c r="N40" s="294" t="s">
        <v>77</v>
      </c>
      <c r="O40" s="286">
        <f>+G40*H40</f>
        <v>150000</v>
      </c>
      <c r="P40" s="294" t="s">
        <v>77</v>
      </c>
      <c r="Q40" s="294" t="s">
        <v>77</v>
      </c>
      <c r="R40" s="294" t="s">
        <v>77</v>
      </c>
      <c r="S40" s="294" t="s">
        <v>77</v>
      </c>
      <c r="T40" s="294" t="s">
        <v>77</v>
      </c>
      <c r="U40" s="287">
        <f t="shared" si="0"/>
        <v>150000</v>
      </c>
      <c r="V40" s="1006"/>
    </row>
    <row r="41" spans="1:23" ht="55.5" customHeight="1" x14ac:dyDescent="0.2">
      <c r="A41" s="987"/>
      <c r="B41" s="987"/>
      <c r="C41" s="281" t="s">
        <v>486</v>
      </c>
      <c r="D41" s="107" t="s">
        <v>261</v>
      </c>
      <c r="E41" s="107" t="s">
        <v>180</v>
      </c>
      <c r="F41" s="107">
        <v>1</v>
      </c>
      <c r="G41" s="292">
        <v>43</v>
      </c>
      <c r="H41" s="293">
        <v>2500</v>
      </c>
      <c r="I41" s="286" t="s">
        <v>77</v>
      </c>
      <c r="J41" s="286" t="s">
        <v>77</v>
      </c>
      <c r="K41" s="294" t="s">
        <v>77</v>
      </c>
      <c r="L41" s="294" t="s">
        <v>77</v>
      </c>
      <c r="M41" s="294" t="s">
        <v>77</v>
      </c>
      <c r="N41" s="286">
        <f>G41*H41</f>
        <v>107500</v>
      </c>
      <c r="O41" s="294" t="s">
        <v>77</v>
      </c>
      <c r="P41" s="294" t="s">
        <v>77</v>
      </c>
      <c r="Q41" s="294" t="s">
        <v>77</v>
      </c>
      <c r="R41" s="294" t="s">
        <v>77</v>
      </c>
      <c r="S41" s="294" t="s">
        <v>77</v>
      </c>
      <c r="T41" s="294" t="s">
        <v>77</v>
      </c>
      <c r="U41" s="287">
        <f t="shared" si="0"/>
        <v>107500</v>
      </c>
      <c r="V41" s="1006"/>
    </row>
    <row r="42" spans="1:23" ht="51" customHeight="1" x14ac:dyDescent="0.2">
      <c r="A42" s="987"/>
      <c r="B42" s="987" t="s">
        <v>1028</v>
      </c>
      <c r="C42" s="281" t="s">
        <v>486</v>
      </c>
      <c r="D42" s="107" t="s">
        <v>257</v>
      </c>
      <c r="E42" s="107" t="s">
        <v>179</v>
      </c>
      <c r="F42" s="107" t="s">
        <v>131</v>
      </c>
      <c r="G42" s="292">
        <v>50</v>
      </c>
      <c r="H42" s="293">
        <v>800</v>
      </c>
      <c r="I42" s="286" t="s">
        <v>77</v>
      </c>
      <c r="J42" s="286" t="s">
        <v>77</v>
      </c>
      <c r="K42" s="294" t="s">
        <v>77</v>
      </c>
      <c r="L42" s="294" t="s">
        <v>77</v>
      </c>
      <c r="M42" s="294" t="s">
        <v>77</v>
      </c>
      <c r="N42" s="294" t="s">
        <v>77</v>
      </c>
      <c r="O42" s="294">
        <f>H42*G42</f>
        <v>40000</v>
      </c>
      <c r="P42" s="294" t="s">
        <v>77</v>
      </c>
      <c r="Q42" s="294" t="s">
        <v>77</v>
      </c>
      <c r="R42" s="294" t="s">
        <v>77</v>
      </c>
      <c r="S42" s="294" t="s">
        <v>77</v>
      </c>
      <c r="T42" s="294" t="s">
        <v>77</v>
      </c>
      <c r="U42" s="287">
        <f t="shared" si="0"/>
        <v>40000</v>
      </c>
      <c r="V42" s="1006"/>
    </row>
    <row r="43" spans="1:23" ht="45" x14ac:dyDescent="0.2">
      <c r="A43" s="987"/>
      <c r="B43" s="987"/>
      <c r="C43" s="281" t="s">
        <v>486</v>
      </c>
      <c r="D43" s="107" t="s">
        <v>258</v>
      </c>
      <c r="E43" s="107" t="s">
        <v>143</v>
      </c>
      <c r="F43" s="107" t="s">
        <v>249</v>
      </c>
      <c r="G43" s="107" t="s">
        <v>249</v>
      </c>
      <c r="H43" s="293">
        <v>10000</v>
      </c>
      <c r="I43" s="286" t="s">
        <v>77</v>
      </c>
      <c r="J43" s="286" t="s">
        <v>77</v>
      </c>
      <c r="K43" s="294" t="s">
        <v>77</v>
      </c>
      <c r="L43" s="294" t="s">
        <v>77</v>
      </c>
      <c r="M43" s="294" t="s">
        <v>77</v>
      </c>
      <c r="N43" s="294" t="s">
        <v>77</v>
      </c>
      <c r="O43" s="294">
        <v>10000</v>
      </c>
      <c r="P43" s="294" t="s">
        <v>77</v>
      </c>
      <c r="Q43" s="294" t="s">
        <v>77</v>
      </c>
      <c r="R43" s="294" t="s">
        <v>77</v>
      </c>
      <c r="S43" s="294" t="s">
        <v>77</v>
      </c>
      <c r="T43" s="294" t="s">
        <v>77</v>
      </c>
      <c r="U43" s="287">
        <f t="shared" si="0"/>
        <v>10000</v>
      </c>
      <c r="V43" s="1006"/>
    </row>
    <row r="44" spans="1:23" ht="45" x14ac:dyDescent="0.2">
      <c r="A44" s="987"/>
      <c r="B44" s="987"/>
      <c r="C44" s="281" t="s">
        <v>486</v>
      </c>
      <c r="D44" s="107" t="s">
        <v>259</v>
      </c>
      <c r="E44" s="107" t="s">
        <v>238</v>
      </c>
      <c r="F44" s="107" t="s">
        <v>131</v>
      </c>
      <c r="G44" s="292">
        <v>50</v>
      </c>
      <c r="H44" s="293">
        <v>800</v>
      </c>
      <c r="I44" s="286" t="s">
        <v>77</v>
      </c>
      <c r="J44" s="286" t="s">
        <v>77</v>
      </c>
      <c r="K44" s="294" t="s">
        <v>77</v>
      </c>
      <c r="L44" s="294" t="s">
        <v>77</v>
      </c>
      <c r="M44" s="294" t="s">
        <v>77</v>
      </c>
      <c r="N44" s="294" t="s">
        <v>77</v>
      </c>
      <c r="O44" s="294">
        <f>G44*H44</f>
        <v>40000</v>
      </c>
      <c r="P44" s="294" t="s">
        <v>77</v>
      </c>
      <c r="Q44" s="294" t="s">
        <v>77</v>
      </c>
      <c r="R44" s="294" t="s">
        <v>77</v>
      </c>
      <c r="S44" s="294" t="s">
        <v>77</v>
      </c>
      <c r="T44" s="294" t="s">
        <v>77</v>
      </c>
      <c r="U44" s="287">
        <f t="shared" si="0"/>
        <v>40000</v>
      </c>
      <c r="V44" s="1006"/>
    </row>
    <row r="45" spans="1:23" ht="51" customHeight="1" x14ac:dyDescent="0.2">
      <c r="A45" s="987"/>
      <c r="B45" s="987"/>
      <c r="C45" s="281" t="s">
        <v>486</v>
      </c>
      <c r="D45" s="107" t="s">
        <v>260</v>
      </c>
      <c r="E45" s="107" t="s">
        <v>143</v>
      </c>
      <c r="F45" s="107" t="s">
        <v>249</v>
      </c>
      <c r="G45" s="292" t="s">
        <v>249</v>
      </c>
      <c r="H45" s="293">
        <v>15000</v>
      </c>
      <c r="I45" s="286" t="s">
        <v>77</v>
      </c>
      <c r="J45" s="286" t="s">
        <v>77</v>
      </c>
      <c r="K45" s="294" t="s">
        <v>77</v>
      </c>
      <c r="L45" s="294" t="s">
        <v>77</v>
      </c>
      <c r="M45" s="294" t="s">
        <v>77</v>
      </c>
      <c r="N45" s="294" t="s">
        <v>77</v>
      </c>
      <c r="O45" s="294">
        <v>15000</v>
      </c>
      <c r="P45" s="294" t="s">
        <v>77</v>
      </c>
      <c r="Q45" s="294" t="s">
        <v>77</v>
      </c>
      <c r="R45" s="294" t="s">
        <v>77</v>
      </c>
      <c r="S45" s="294" t="s">
        <v>77</v>
      </c>
      <c r="T45" s="294" t="s">
        <v>77</v>
      </c>
      <c r="U45" s="287">
        <f t="shared" si="0"/>
        <v>15000</v>
      </c>
      <c r="V45" s="1006"/>
    </row>
    <row r="46" spans="1:23" ht="45" x14ac:dyDescent="0.2">
      <c r="A46" s="987"/>
      <c r="B46" s="987" t="s">
        <v>1030</v>
      </c>
      <c r="C46" s="281" t="s">
        <v>486</v>
      </c>
      <c r="D46" s="107" t="s">
        <v>262</v>
      </c>
      <c r="E46" s="107" t="s">
        <v>238</v>
      </c>
      <c r="F46" s="107" t="s">
        <v>263</v>
      </c>
      <c r="G46" s="292">
        <v>200</v>
      </c>
      <c r="H46" s="293">
        <v>600</v>
      </c>
      <c r="I46" s="286" t="s">
        <v>77</v>
      </c>
      <c r="J46" s="286" t="s">
        <v>77</v>
      </c>
      <c r="K46" s="294" t="s">
        <v>77</v>
      </c>
      <c r="L46" s="294" t="s">
        <v>77</v>
      </c>
      <c r="M46" s="294" t="s">
        <v>77</v>
      </c>
      <c r="N46" s="294" t="s">
        <v>77</v>
      </c>
      <c r="O46" s="294" t="s">
        <v>77</v>
      </c>
      <c r="P46" s="294" t="s">
        <v>77</v>
      </c>
      <c r="Q46" s="294" t="s">
        <v>77</v>
      </c>
      <c r="R46" s="294" t="s">
        <v>77</v>
      </c>
      <c r="S46" s="294">
        <f>+G46*H46</f>
        <v>120000</v>
      </c>
      <c r="T46" s="294" t="s">
        <v>77</v>
      </c>
      <c r="U46" s="287">
        <f t="shared" si="0"/>
        <v>120000</v>
      </c>
      <c r="V46" s="1006"/>
    </row>
    <row r="47" spans="1:23" ht="45" x14ac:dyDescent="0.2">
      <c r="A47" s="987"/>
      <c r="B47" s="987"/>
      <c r="C47" s="281" t="s">
        <v>486</v>
      </c>
      <c r="D47" s="107" t="s">
        <v>264</v>
      </c>
      <c r="E47" s="107" t="s">
        <v>179</v>
      </c>
      <c r="F47" s="107" t="s">
        <v>131</v>
      </c>
      <c r="G47" s="292">
        <v>200</v>
      </c>
      <c r="H47" s="293">
        <f>20000/G47</f>
        <v>100</v>
      </c>
      <c r="I47" s="286" t="s">
        <v>77</v>
      </c>
      <c r="J47" s="286" t="s">
        <v>77</v>
      </c>
      <c r="K47" s="294" t="s">
        <v>77</v>
      </c>
      <c r="L47" s="294" t="s">
        <v>77</v>
      </c>
      <c r="M47" s="294" t="s">
        <v>77</v>
      </c>
      <c r="N47" s="294" t="s">
        <v>77</v>
      </c>
      <c r="O47" s="294" t="s">
        <v>77</v>
      </c>
      <c r="P47" s="294" t="s">
        <v>77</v>
      </c>
      <c r="Q47" s="294" t="s">
        <v>77</v>
      </c>
      <c r="R47" s="294" t="s">
        <v>77</v>
      </c>
      <c r="S47" s="294">
        <f>G47*H47</f>
        <v>20000</v>
      </c>
      <c r="T47" s="294" t="s">
        <v>77</v>
      </c>
      <c r="U47" s="287">
        <f t="shared" si="0"/>
        <v>20000</v>
      </c>
      <c r="V47" s="1006"/>
    </row>
    <row r="48" spans="1:23" ht="45" x14ac:dyDescent="0.2">
      <c r="A48" s="987"/>
      <c r="B48" s="987"/>
      <c r="C48" s="281" t="s">
        <v>486</v>
      </c>
      <c r="D48" s="107" t="s">
        <v>262</v>
      </c>
      <c r="E48" s="107" t="s">
        <v>238</v>
      </c>
      <c r="F48" s="107" t="s">
        <v>263</v>
      </c>
      <c r="G48" s="292">
        <v>150</v>
      </c>
      <c r="H48" s="293">
        <v>600</v>
      </c>
      <c r="I48" s="286" t="s">
        <v>77</v>
      </c>
      <c r="J48" s="286" t="s">
        <v>77</v>
      </c>
      <c r="K48" s="294" t="s">
        <v>77</v>
      </c>
      <c r="L48" s="294" t="s">
        <v>77</v>
      </c>
      <c r="M48" s="294" t="s">
        <v>77</v>
      </c>
      <c r="N48" s="294" t="s">
        <v>77</v>
      </c>
      <c r="O48" s="294" t="s">
        <v>77</v>
      </c>
      <c r="P48" s="294" t="s">
        <v>77</v>
      </c>
      <c r="Q48" s="294" t="s">
        <v>77</v>
      </c>
      <c r="R48" s="294" t="s">
        <v>77</v>
      </c>
      <c r="S48" s="294" t="s">
        <v>77</v>
      </c>
      <c r="T48" s="287">
        <f>G48*H48</f>
        <v>90000</v>
      </c>
      <c r="U48" s="287">
        <f t="shared" si="0"/>
        <v>90000</v>
      </c>
      <c r="V48" s="1006"/>
    </row>
    <row r="49" spans="1:22" ht="60" customHeight="1" x14ac:dyDescent="0.2">
      <c r="A49" s="987"/>
      <c r="B49" s="987"/>
      <c r="C49" s="281" t="s">
        <v>486</v>
      </c>
      <c r="D49" s="107" t="s">
        <v>264</v>
      </c>
      <c r="E49" s="107" t="s">
        <v>179</v>
      </c>
      <c r="F49" s="107" t="s">
        <v>131</v>
      </c>
      <c r="G49" s="292">
        <v>150</v>
      </c>
      <c r="H49" s="293">
        <v>100</v>
      </c>
      <c r="I49" s="286" t="s">
        <v>77</v>
      </c>
      <c r="J49" s="286" t="s">
        <v>77</v>
      </c>
      <c r="K49" s="294" t="s">
        <v>77</v>
      </c>
      <c r="L49" s="294" t="s">
        <v>77</v>
      </c>
      <c r="M49" s="294" t="s">
        <v>77</v>
      </c>
      <c r="N49" s="294" t="s">
        <v>77</v>
      </c>
      <c r="O49" s="294" t="s">
        <v>77</v>
      </c>
      <c r="P49" s="294" t="s">
        <v>77</v>
      </c>
      <c r="Q49" s="294" t="s">
        <v>77</v>
      </c>
      <c r="R49" s="294" t="s">
        <v>77</v>
      </c>
      <c r="S49" s="294" t="s">
        <v>77</v>
      </c>
      <c r="T49" s="287">
        <f>G49*H49</f>
        <v>15000</v>
      </c>
      <c r="U49" s="287">
        <f t="shared" si="0"/>
        <v>15000</v>
      </c>
      <c r="V49" s="1007"/>
    </row>
    <row r="50" spans="1:22" ht="75" x14ac:dyDescent="0.2">
      <c r="A50" s="1000" t="s">
        <v>265</v>
      </c>
      <c r="B50" s="1004" t="s">
        <v>266</v>
      </c>
      <c r="C50" s="121" t="s">
        <v>50</v>
      </c>
      <c r="D50" s="178" t="s">
        <v>267</v>
      </c>
      <c r="E50" s="178" t="s">
        <v>252</v>
      </c>
      <c r="F50" s="178" t="s">
        <v>244</v>
      </c>
      <c r="G50" s="178" t="s">
        <v>268</v>
      </c>
      <c r="H50" s="605">
        <v>400000</v>
      </c>
      <c r="I50" s="605" t="s">
        <v>77</v>
      </c>
      <c r="J50" s="608" t="s">
        <v>77</v>
      </c>
      <c r="K50" s="608">
        <v>48827.3</v>
      </c>
      <c r="L50" s="608">
        <f>+H50-K50</f>
        <v>351172.7</v>
      </c>
      <c r="M50" s="608" t="s">
        <v>77</v>
      </c>
      <c r="N50" s="608" t="s">
        <v>77</v>
      </c>
      <c r="O50" s="608" t="s">
        <v>77</v>
      </c>
      <c r="P50" s="608" t="s">
        <v>77</v>
      </c>
      <c r="Q50" s="608" t="s">
        <v>77</v>
      </c>
      <c r="R50" s="608" t="s">
        <v>77</v>
      </c>
      <c r="S50" s="608" t="s">
        <v>77</v>
      </c>
      <c r="T50" s="608" t="s">
        <v>77</v>
      </c>
      <c r="U50" s="606">
        <f>SUM(I50:T50)</f>
        <v>400000</v>
      </c>
      <c r="V50" s="1001"/>
    </row>
    <row r="51" spans="1:22" ht="45" x14ac:dyDescent="0.2">
      <c r="A51" s="1000"/>
      <c r="B51" s="1004"/>
      <c r="C51" s="121" t="s">
        <v>50</v>
      </c>
      <c r="D51" s="115" t="s">
        <v>269</v>
      </c>
      <c r="E51" s="115" t="s">
        <v>143</v>
      </c>
      <c r="F51" s="115" t="s">
        <v>244</v>
      </c>
      <c r="G51" s="115" t="s">
        <v>270</v>
      </c>
      <c r="H51" s="291"/>
      <c r="I51" s="291">
        <v>15000</v>
      </c>
      <c r="J51" s="289" t="s">
        <v>77</v>
      </c>
      <c r="K51" s="289" t="s">
        <v>77</v>
      </c>
      <c r="L51" s="289">
        <v>15000</v>
      </c>
      <c r="M51" s="289" t="s">
        <v>77</v>
      </c>
      <c r="N51" s="295" t="s">
        <v>77</v>
      </c>
      <c r="O51" s="289">
        <v>15000</v>
      </c>
      <c r="P51" s="289" t="s">
        <v>77</v>
      </c>
      <c r="Q51" s="289">
        <v>15000</v>
      </c>
      <c r="R51" s="289" t="s">
        <v>77</v>
      </c>
      <c r="S51" s="289" t="s">
        <v>77</v>
      </c>
      <c r="T51" s="295" t="s">
        <v>77</v>
      </c>
      <c r="U51" s="290">
        <f t="shared" si="0"/>
        <v>60000</v>
      </c>
      <c r="V51" s="1002"/>
    </row>
    <row r="52" spans="1:22" ht="45" customHeight="1" x14ac:dyDescent="0.2">
      <c r="A52" s="1000"/>
      <c r="B52" s="1004"/>
      <c r="C52" s="121" t="s">
        <v>50</v>
      </c>
      <c r="D52" s="115" t="s">
        <v>271</v>
      </c>
      <c r="E52" s="115" t="s">
        <v>254</v>
      </c>
      <c r="F52" s="115" t="s">
        <v>131</v>
      </c>
      <c r="G52" s="115">
        <v>100</v>
      </c>
      <c r="H52" s="291">
        <v>130</v>
      </c>
      <c r="I52" s="295" t="s">
        <v>77</v>
      </c>
      <c r="J52" s="295" t="s">
        <v>77</v>
      </c>
      <c r="K52" s="295" t="s">
        <v>77</v>
      </c>
      <c r="L52" s="295" t="s">
        <v>77</v>
      </c>
      <c r="M52" s="295" t="s">
        <v>77</v>
      </c>
      <c r="N52" s="290">
        <f>+G52*H52</f>
        <v>13000</v>
      </c>
      <c r="O52" s="295" t="s">
        <v>77</v>
      </c>
      <c r="P52" s="295" t="s">
        <v>77</v>
      </c>
      <c r="Q52" s="295" t="s">
        <v>77</v>
      </c>
      <c r="R52" s="295" t="s">
        <v>77</v>
      </c>
      <c r="S52" s="295" t="s">
        <v>77</v>
      </c>
      <c r="T52" s="295" t="s">
        <v>77</v>
      </c>
      <c r="U52" s="290">
        <f t="shared" si="0"/>
        <v>13000</v>
      </c>
      <c r="V52" s="1002"/>
    </row>
    <row r="53" spans="1:22" ht="33" customHeight="1" x14ac:dyDescent="0.2">
      <c r="A53" s="1000"/>
      <c r="B53" s="1004"/>
      <c r="C53" s="121" t="s">
        <v>50</v>
      </c>
      <c r="D53" s="115" t="s">
        <v>272</v>
      </c>
      <c r="E53" s="115" t="s">
        <v>143</v>
      </c>
      <c r="F53" s="142" t="s">
        <v>244</v>
      </c>
      <c r="G53" s="142">
        <v>200</v>
      </c>
      <c r="H53" s="290">
        <v>200</v>
      </c>
      <c r="I53" s="295" t="s">
        <v>77</v>
      </c>
      <c r="J53" s="295" t="s">
        <v>77</v>
      </c>
      <c r="K53" s="295" t="s">
        <v>77</v>
      </c>
      <c r="L53" s="295" t="s">
        <v>77</v>
      </c>
      <c r="M53" s="295" t="s">
        <v>77</v>
      </c>
      <c r="N53" s="295">
        <f>+G53*H53</f>
        <v>40000</v>
      </c>
      <c r="O53" s="295" t="s">
        <v>77</v>
      </c>
      <c r="P53" s="295" t="s">
        <v>77</v>
      </c>
      <c r="Q53" s="295" t="s">
        <v>77</v>
      </c>
      <c r="R53" s="295" t="s">
        <v>77</v>
      </c>
      <c r="S53" s="295" t="s">
        <v>77</v>
      </c>
      <c r="T53" s="295" t="s">
        <v>77</v>
      </c>
      <c r="U53" s="290">
        <f t="shared" si="0"/>
        <v>40000</v>
      </c>
      <c r="V53" s="1002"/>
    </row>
    <row r="54" spans="1:22" ht="41.25" customHeight="1" x14ac:dyDescent="0.2">
      <c r="A54" s="1000"/>
      <c r="B54" s="1004"/>
      <c r="C54" s="121" t="s">
        <v>50</v>
      </c>
      <c r="D54" s="115" t="s">
        <v>273</v>
      </c>
      <c r="E54" s="115" t="s">
        <v>274</v>
      </c>
      <c r="F54" s="142" t="s">
        <v>131</v>
      </c>
      <c r="G54" s="142">
        <v>200</v>
      </c>
      <c r="H54" s="290">
        <v>50</v>
      </c>
      <c r="I54" s="295" t="s">
        <v>77</v>
      </c>
      <c r="J54" s="295" t="s">
        <v>77</v>
      </c>
      <c r="K54" s="295" t="s">
        <v>77</v>
      </c>
      <c r="L54" s="295" t="s">
        <v>77</v>
      </c>
      <c r="M54" s="295" t="s">
        <v>77</v>
      </c>
      <c r="N54" s="295">
        <f>+G54*H54</f>
        <v>10000</v>
      </c>
      <c r="O54" s="295" t="s">
        <v>77</v>
      </c>
      <c r="P54" s="295" t="s">
        <v>77</v>
      </c>
      <c r="Q54" s="295" t="s">
        <v>77</v>
      </c>
      <c r="R54" s="295" t="s">
        <v>77</v>
      </c>
      <c r="S54" s="295" t="s">
        <v>77</v>
      </c>
      <c r="T54" s="295" t="s">
        <v>77</v>
      </c>
      <c r="U54" s="290">
        <f t="shared" si="0"/>
        <v>10000</v>
      </c>
      <c r="V54" s="1002"/>
    </row>
    <row r="55" spans="1:22" ht="36.75" customHeight="1" x14ac:dyDescent="0.2">
      <c r="A55" s="1000"/>
      <c r="B55" s="1004"/>
      <c r="C55" s="121" t="s">
        <v>50</v>
      </c>
      <c r="D55" s="115" t="s">
        <v>275</v>
      </c>
      <c r="E55" s="115" t="str">
        <f>'[2]Table 1'!$A$375</f>
        <v>2.3.9.2.01</v>
      </c>
      <c r="F55" s="115" t="s">
        <v>244</v>
      </c>
      <c r="G55" s="115">
        <v>1</v>
      </c>
      <c r="H55" s="291">
        <v>5000</v>
      </c>
      <c r="I55" s="295" t="s">
        <v>77</v>
      </c>
      <c r="J55" s="295" t="s">
        <v>77</v>
      </c>
      <c r="K55" s="290">
        <v>5000</v>
      </c>
      <c r="L55" s="295" t="s">
        <v>77</v>
      </c>
      <c r="M55" s="295" t="s">
        <v>77</v>
      </c>
      <c r="N55" s="295" t="s">
        <v>77</v>
      </c>
      <c r="O55" s="295" t="s">
        <v>77</v>
      </c>
      <c r="P55" s="295" t="s">
        <v>77</v>
      </c>
      <c r="Q55" s="295" t="s">
        <v>77</v>
      </c>
      <c r="R55" s="295" t="s">
        <v>77</v>
      </c>
      <c r="S55" s="295" t="s">
        <v>77</v>
      </c>
      <c r="T55" s="295" t="s">
        <v>77</v>
      </c>
      <c r="U55" s="290">
        <f t="shared" si="0"/>
        <v>5000</v>
      </c>
      <c r="V55" s="1002"/>
    </row>
    <row r="56" spans="1:22" ht="40.5" customHeight="1" x14ac:dyDescent="0.2">
      <c r="A56" s="1000"/>
      <c r="B56" s="1004"/>
      <c r="C56" s="121" t="s">
        <v>50</v>
      </c>
      <c r="D56" s="118" t="s">
        <v>276</v>
      </c>
      <c r="E56" s="118" t="s">
        <v>277</v>
      </c>
      <c r="F56" s="115" t="s">
        <v>244</v>
      </c>
      <c r="G56" s="115">
        <v>12</v>
      </c>
      <c r="H56" s="289">
        <v>24000</v>
      </c>
      <c r="I56" s="289">
        <f t="shared" ref="I56:T56" si="3">$H$56</f>
        <v>24000</v>
      </c>
      <c r="J56" s="289">
        <f t="shared" si="3"/>
        <v>24000</v>
      </c>
      <c r="K56" s="289">
        <f t="shared" si="3"/>
        <v>24000</v>
      </c>
      <c r="L56" s="289">
        <f t="shared" si="3"/>
        <v>24000</v>
      </c>
      <c r="M56" s="289">
        <f t="shared" si="3"/>
        <v>24000</v>
      </c>
      <c r="N56" s="289">
        <f t="shared" si="3"/>
        <v>24000</v>
      </c>
      <c r="O56" s="289">
        <f t="shared" si="3"/>
        <v>24000</v>
      </c>
      <c r="P56" s="289">
        <f t="shared" si="3"/>
        <v>24000</v>
      </c>
      <c r="Q56" s="289">
        <f t="shared" si="3"/>
        <v>24000</v>
      </c>
      <c r="R56" s="289">
        <f t="shared" si="3"/>
        <v>24000</v>
      </c>
      <c r="S56" s="289">
        <f t="shared" si="3"/>
        <v>24000</v>
      </c>
      <c r="T56" s="289">
        <f t="shared" si="3"/>
        <v>24000</v>
      </c>
      <c r="U56" s="290">
        <f t="shared" si="0"/>
        <v>288000</v>
      </c>
      <c r="V56" s="1002"/>
    </row>
    <row r="57" spans="1:22" ht="75" x14ac:dyDescent="0.2">
      <c r="A57" s="1000"/>
      <c r="B57" s="1004"/>
      <c r="C57" s="121" t="s">
        <v>50</v>
      </c>
      <c r="D57" s="118" t="s">
        <v>278</v>
      </c>
      <c r="E57" s="118" t="s">
        <v>277</v>
      </c>
      <c r="F57" s="115" t="s">
        <v>244</v>
      </c>
      <c r="G57" s="115">
        <v>12</v>
      </c>
      <c r="H57" s="295">
        <v>400000</v>
      </c>
      <c r="I57" s="289">
        <f t="shared" ref="I57:T57" si="4">$H$57</f>
        <v>400000</v>
      </c>
      <c r="J57" s="289">
        <f t="shared" si="4"/>
        <v>400000</v>
      </c>
      <c r="K57" s="289">
        <f t="shared" si="4"/>
        <v>400000</v>
      </c>
      <c r="L57" s="289">
        <f t="shared" si="4"/>
        <v>400000</v>
      </c>
      <c r="M57" s="289">
        <f t="shared" si="4"/>
        <v>400000</v>
      </c>
      <c r="N57" s="289">
        <f t="shared" si="4"/>
        <v>400000</v>
      </c>
      <c r="O57" s="289">
        <f t="shared" si="4"/>
        <v>400000</v>
      </c>
      <c r="P57" s="289">
        <f t="shared" si="4"/>
        <v>400000</v>
      </c>
      <c r="Q57" s="289">
        <f t="shared" si="4"/>
        <v>400000</v>
      </c>
      <c r="R57" s="289">
        <f t="shared" si="4"/>
        <v>400000</v>
      </c>
      <c r="S57" s="289">
        <f t="shared" si="4"/>
        <v>400000</v>
      </c>
      <c r="T57" s="289">
        <f t="shared" si="4"/>
        <v>400000</v>
      </c>
      <c r="U57" s="290">
        <f t="shared" si="0"/>
        <v>4800000</v>
      </c>
      <c r="V57" s="1002"/>
    </row>
    <row r="58" spans="1:22" ht="75" x14ac:dyDescent="0.2">
      <c r="A58" s="1000"/>
      <c r="B58" s="1004"/>
      <c r="C58" s="121" t="s">
        <v>50</v>
      </c>
      <c r="D58" s="118" t="s">
        <v>279</v>
      </c>
      <c r="E58" s="118" t="s">
        <v>277</v>
      </c>
      <c r="F58" s="115" t="s">
        <v>244</v>
      </c>
      <c r="G58" s="115">
        <v>12</v>
      </c>
      <c r="H58" s="295">
        <v>600000</v>
      </c>
      <c r="I58" s="289">
        <f t="shared" ref="I58:T58" si="5">$H$58</f>
        <v>600000</v>
      </c>
      <c r="J58" s="289">
        <f t="shared" si="5"/>
        <v>600000</v>
      </c>
      <c r="K58" s="289">
        <f t="shared" si="5"/>
        <v>600000</v>
      </c>
      <c r="L58" s="289">
        <f t="shared" si="5"/>
        <v>600000</v>
      </c>
      <c r="M58" s="289">
        <f t="shared" si="5"/>
        <v>600000</v>
      </c>
      <c r="N58" s="289">
        <f t="shared" si="5"/>
        <v>600000</v>
      </c>
      <c r="O58" s="289">
        <f t="shared" si="5"/>
        <v>600000</v>
      </c>
      <c r="P58" s="289">
        <f t="shared" si="5"/>
        <v>600000</v>
      </c>
      <c r="Q58" s="289">
        <f t="shared" si="5"/>
        <v>600000</v>
      </c>
      <c r="R58" s="289">
        <f t="shared" si="5"/>
        <v>600000</v>
      </c>
      <c r="S58" s="289">
        <f t="shared" si="5"/>
        <v>600000</v>
      </c>
      <c r="T58" s="289">
        <f t="shared" si="5"/>
        <v>600000</v>
      </c>
      <c r="U58" s="290">
        <f t="shared" si="0"/>
        <v>7200000</v>
      </c>
      <c r="V58" s="1002"/>
    </row>
    <row r="59" spans="1:22" ht="41.25" customHeight="1" x14ac:dyDescent="0.2">
      <c r="A59" s="1000"/>
      <c r="B59" s="1004"/>
      <c r="C59" s="121" t="s">
        <v>50</v>
      </c>
      <c r="D59" s="175" t="s">
        <v>280</v>
      </c>
      <c r="E59" s="175" t="s">
        <v>238</v>
      </c>
      <c r="F59" s="175" t="s">
        <v>131</v>
      </c>
      <c r="G59" s="175">
        <v>1</v>
      </c>
      <c r="H59" s="605">
        <v>3040000</v>
      </c>
      <c r="I59" s="605">
        <f>+[3]Sheet4!$D$8</f>
        <v>204963.74</v>
      </c>
      <c r="J59" s="605">
        <f>H59-I59-P59</f>
        <v>2235036.2599999998</v>
      </c>
      <c r="K59" s="605"/>
      <c r="L59" s="605"/>
      <c r="M59" s="605"/>
      <c r="N59" s="605"/>
      <c r="O59" s="605"/>
      <c r="P59" s="605">
        <v>600000</v>
      </c>
      <c r="Q59" s="605"/>
      <c r="R59" s="605"/>
      <c r="S59" s="605"/>
      <c r="T59" s="605"/>
      <c r="U59" s="606">
        <f t="shared" si="0"/>
        <v>3040000</v>
      </c>
      <c r="V59" s="1003"/>
    </row>
    <row r="60" spans="1:22" ht="27.75" customHeight="1" x14ac:dyDescent="0.2">
      <c r="A60" s="994" t="s">
        <v>281</v>
      </c>
      <c r="B60" s="995"/>
      <c r="C60" s="995"/>
      <c r="D60" s="995"/>
      <c r="E60" s="995"/>
      <c r="F60" s="995"/>
      <c r="G60" s="995"/>
      <c r="H60" s="996"/>
      <c r="I60" s="296">
        <f>+SUM(I24:I59)</f>
        <v>1257463.74</v>
      </c>
      <c r="J60" s="296">
        <f t="shared" ref="J60:S60" si="6">+SUM(J24:J59)</f>
        <v>3259036.26</v>
      </c>
      <c r="K60" s="296">
        <f t="shared" si="6"/>
        <v>1325827.3</v>
      </c>
      <c r="L60" s="296">
        <f t="shared" si="6"/>
        <v>1478672.7</v>
      </c>
      <c r="M60" s="296">
        <f t="shared" si="6"/>
        <v>1245500</v>
      </c>
      <c r="N60" s="296">
        <f t="shared" si="6"/>
        <v>16064180</v>
      </c>
      <c r="O60" s="296">
        <f t="shared" si="6"/>
        <v>1362500</v>
      </c>
      <c r="P60" s="296">
        <f t="shared" si="6"/>
        <v>1624000</v>
      </c>
      <c r="Q60" s="296">
        <f t="shared" si="6"/>
        <v>1621990</v>
      </c>
      <c r="R60" s="296">
        <f t="shared" si="6"/>
        <v>1037500</v>
      </c>
      <c r="S60" s="296">
        <f t="shared" si="6"/>
        <v>1464000</v>
      </c>
      <c r="T60" s="296">
        <f>+SUM(T24:T59)</f>
        <v>1135000</v>
      </c>
      <c r="U60" s="296">
        <f>SUM(U24:U59)</f>
        <v>32875670</v>
      </c>
      <c r="V60" s="297"/>
    </row>
    <row r="61" spans="1:22" ht="15" x14ac:dyDescent="0.2">
      <c r="A61" s="101"/>
      <c r="B61" s="102"/>
      <c r="C61" s="284"/>
      <c r="D61" s="101"/>
      <c r="E61" s="101"/>
      <c r="F61" s="101"/>
      <c r="G61" s="101"/>
      <c r="H61" s="298"/>
      <c r="I61" s="170"/>
      <c r="J61" s="170"/>
      <c r="K61" s="170"/>
      <c r="L61" s="170"/>
      <c r="M61" s="170"/>
      <c r="N61" s="170"/>
      <c r="O61" s="170"/>
      <c r="P61" s="170"/>
      <c r="Q61" s="170"/>
      <c r="R61" s="170"/>
      <c r="S61" s="170"/>
      <c r="T61" s="170"/>
      <c r="U61" s="101"/>
      <c r="V61" s="170"/>
    </row>
    <row r="62" spans="1:22" ht="15" x14ac:dyDescent="0.2">
      <c r="A62" s="101"/>
      <c r="B62" s="102"/>
      <c r="C62" s="284"/>
      <c r="D62" s="101"/>
      <c r="E62" s="101"/>
      <c r="F62" s="101"/>
      <c r="G62" s="101"/>
      <c r="H62" s="298"/>
      <c r="I62" s="170"/>
      <c r="J62" s="170"/>
      <c r="K62" s="170"/>
      <c r="L62" s="170"/>
      <c r="M62" s="170"/>
      <c r="N62" s="170"/>
      <c r="O62" s="170"/>
      <c r="P62" s="170"/>
      <c r="Q62" s="170"/>
      <c r="R62" s="170"/>
      <c r="S62" s="170"/>
      <c r="T62" s="170"/>
      <c r="U62" s="101"/>
      <c r="V62" s="170"/>
    </row>
    <row r="63" spans="1:22" ht="15" x14ac:dyDescent="0.2">
      <c r="A63" s="101"/>
      <c r="B63" s="102"/>
      <c r="C63" s="284"/>
      <c r="D63" s="101"/>
      <c r="E63" s="101"/>
      <c r="F63" s="101"/>
      <c r="G63" s="101"/>
      <c r="H63" s="298"/>
      <c r="I63" s="170"/>
      <c r="J63" s="170"/>
      <c r="K63" s="170"/>
      <c r="L63" s="170"/>
      <c r="M63" s="170"/>
      <c r="N63" s="170"/>
      <c r="O63" s="170"/>
      <c r="P63" s="170"/>
      <c r="Q63" s="170"/>
      <c r="R63" s="170"/>
      <c r="S63" s="170"/>
      <c r="T63" s="170"/>
      <c r="U63" s="101"/>
      <c r="V63" s="170"/>
    </row>
    <row r="66" spans="2:19" ht="15" x14ac:dyDescent="0.2">
      <c r="B66" s="853"/>
      <c r="C66" s="853"/>
      <c r="D66" s="853"/>
      <c r="E66" s="101"/>
      <c r="F66" s="101"/>
      <c r="G66" s="126"/>
      <c r="H66" s="992"/>
      <c r="I66" s="992"/>
      <c r="J66" s="992"/>
      <c r="K66" s="992"/>
      <c r="L66" s="992"/>
      <c r="M66" s="992"/>
      <c r="N66" s="992"/>
      <c r="O66" s="101"/>
      <c r="P66" s="101"/>
      <c r="Q66" s="853"/>
      <c r="R66" s="853"/>
      <c r="S66" s="853"/>
    </row>
    <row r="67" spans="2:19" ht="15" x14ac:dyDescent="0.2">
      <c r="B67" s="854" t="s">
        <v>1056</v>
      </c>
      <c r="C67" s="854"/>
      <c r="D67" s="854"/>
      <c r="E67" s="101"/>
      <c r="F67" s="101"/>
      <c r="G67" s="128"/>
      <c r="H67" s="854" t="s">
        <v>536</v>
      </c>
      <c r="I67" s="854"/>
      <c r="J67" s="854"/>
      <c r="K67" s="854"/>
      <c r="L67" s="854"/>
      <c r="M67" s="854"/>
      <c r="N67" s="854"/>
      <c r="O67" s="101"/>
      <c r="P67" s="101"/>
      <c r="Q67" s="854" t="s">
        <v>537</v>
      </c>
      <c r="R67" s="854"/>
      <c r="S67" s="854"/>
    </row>
    <row r="68" spans="2:19" ht="15" x14ac:dyDescent="0.2">
      <c r="B68" s="851" t="s">
        <v>1057</v>
      </c>
      <c r="C68" s="851"/>
      <c r="D68" s="851"/>
      <c r="E68" s="101"/>
      <c r="F68" s="101"/>
      <c r="G68" s="128"/>
      <c r="H68" s="851" t="s">
        <v>546</v>
      </c>
      <c r="I68" s="851"/>
      <c r="J68" s="851"/>
      <c r="K68" s="851"/>
      <c r="L68" s="851"/>
      <c r="M68" s="851"/>
      <c r="N68" s="851"/>
      <c r="O68" s="101"/>
      <c r="P68" s="101"/>
      <c r="Q68" s="851" t="s">
        <v>538</v>
      </c>
      <c r="R68" s="851"/>
      <c r="S68" s="851"/>
    </row>
  </sheetData>
  <mergeCells count="49">
    <mergeCell ref="B68:D68"/>
    <mergeCell ref="H68:N68"/>
    <mergeCell ref="Q68:S68"/>
    <mergeCell ref="B66:D66"/>
    <mergeCell ref="H66:N66"/>
    <mergeCell ref="Q66:S66"/>
    <mergeCell ref="B67:D67"/>
    <mergeCell ref="H67:N67"/>
    <mergeCell ref="Q67:S67"/>
    <mergeCell ref="B20:V20"/>
    <mergeCell ref="U22:U23"/>
    <mergeCell ref="V22:V23"/>
    <mergeCell ref="A14:V14"/>
    <mergeCell ref="A15:V15"/>
    <mergeCell ref="A16:V16"/>
    <mergeCell ref="B18:V18"/>
    <mergeCell ref="B19:V19"/>
    <mergeCell ref="B46:B49"/>
    <mergeCell ref="A24:A25"/>
    <mergeCell ref="B24:B25"/>
    <mergeCell ref="V24:V25"/>
    <mergeCell ref="G22:G23"/>
    <mergeCell ref="H22:H23"/>
    <mergeCell ref="I22:K22"/>
    <mergeCell ref="L22:N22"/>
    <mergeCell ref="O22:Q22"/>
    <mergeCell ref="R22:T22"/>
    <mergeCell ref="A22:A23"/>
    <mergeCell ref="B22:B23"/>
    <mergeCell ref="C22:C23"/>
    <mergeCell ref="D22:D23"/>
    <mergeCell ref="E22:E23"/>
    <mergeCell ref="F22:F23"/>
    <mergeCell ref="B40:B41"/>
    <mergeCell ref="A60:H60"/>
    <mergeCell ref="A27:A28"/>
    <mergeCell ref="B27:B28"/>
    <mergeCell ref="V27:V28"/>
    <mergeCell ref="A29:A32"/>
    <mergeCell ref="B29:B31"/>
    <mergeCell ref="V29:V32"/>
    <mergeCell ref="A50:A59"/>
    <mergeCell ref="B50:B59"/>
    <mergeCell ref="V50:V59"/>
    <mergeCell ref="A33:A49"/>
    <mergeCell ref="V33:V49"/>
    <mergeCell ref="B34:B36"/>
    <mergeCell ref="B37:B39"/>
    <mergeCell ref="B42:B45"/>
  </mergeCells>
  <pageMargins left="0.23622047244094491" right="0.23622047244094491" top="0.39370078740157483" bottom="0.39370078740157483" header="0.31496062992125984" footer="0.31496062992125984"/>
  <pageSetup paperSize="5" scale="18" fitToHeight="0" orientation="landscape" r:id="rId1"/>
  <headerFooter>
    <oddFooter>&amp;CPágina &amp;P de &amp;N</oddFoot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321F-A0E4-43A1-81D5-03DD18546EA9}">
  <sheetPr codeName="Sheet31">
    <pageSetUpPr fitToPage="1"/>
  </sheetPr>
  <dimension ref="A19:U43"/>
  <sheetViews>
    <sheetView topLeftCell="A26" workbookViewId="0">
      <selection activeCell="D29" sqref="D29"/>
    </sheetView>
  </sheetViews>
  <sheetFormatPr defaultColWidth="11.42578125" defaultRowHeight="14.25" x14ac:dyDescent="0.2"/>
  <cols>
    <col min="1" max="1" width="42.140625" style="5" customWidth="1"/>
    <col min="2" max="2" width="29.7109375" style="2" bestFit="1" customWidth="1"/>
    <col min="3" max="3" width="29.28515625" style="5" bestFit="1" customWidth="1"/>
    <col min="4" max="4" width="16.42578125" style="2" bestFit="1" customWidth="1"/>
    <col min="5" max="5" width="16.28515625" style="2" customWidth="1"/>
    <col min="6" max="6" width="34.85546875" style="5" customWidth="1"/>
    <col min="7" max="20" width="27.5703125" style="2" customWidth="1"/>
    <col min="21" max="21" width="26.28515625" style="2" bestFit="1" customWidth="1"/>
    <col min="22" max="16384" width="11.42578125" style="2"/>
  </cols>
  <sheetData>
    <row r="19" spans="1:21" ht="19.5" x14ac:dyDescent="0.25">
      <c r="A19" s="858" t="s">
        <v>0</v>
      </c>
      <c r="B19" s="858"/>
      <c r="C19" s="858"/>
      <c r="D19" s="858"/>
      <c r="E19" s="858"/>
      <c r="F19" s="858"/>
      <c r="G19" s="858"/>
      <c r="H19" s="858"/>
      <c r="I19" s="858"/>
      <c r="J19" s="858"/>
      <c r="K19" s="858"/>
      <c r="L19" s="858"/>
      <c r="M19" s="858"/>
      <c r="N19" s="858"/>
      <c r="O19" s="858"/>
      <c r="P19" s="858"/>
      <c r="Q19" s="858"/>
      <c r="R19" s="858"/>
      <c r="S19" s="858"/>
      <c r="T19" s="858"/>
    </row>
    <row r="20" spans="1:21" ht="19.5" x14ac:dyDescent="0.25">
      <c r="A20" s="858" t="s">
        <v>1</v>
      </c>
      <c r="B20" s="858"/>
      <c r="C20" s="858"/>
      <c r="D20" s="858"/>
      <c r="E20" s="858"/>
      <c r="F20" s="858"/>
      <c r="G20" s="858"/>
      <c r="H20" s="858"/>
      <c r="I20" s="858"/>
      <c r="J20" s="858"/>
      <c r="K20" s="858"/>
      <c r="L20" s="858"/>
      <c r="M20" s="858"/>
      <c r="N20" s="858"/>
      <c r="O20" s="858"/>
      <c r="P20" s="858"/>
      <c r="Q20" s="858"/>
      <c r="R20" s="858"/>
      <c r="S20" s="858"/>
      <c r="T20" s="858"/>
    </row>
    <row r="21" spans="1:21" ht="19.5" x14ac:dyDescent="0.25">
      <c r="A21" s="2"/>
      <c r="B21" s="1"/>
      <c r="C21" s="3"/>
      <c r="D21" s="1"/>
      <c r="E21" s="1"/>
      <c r="F21" s="3"/>
      <c r="G21" s="1"/>
      <c r="H21" s="1"/>
      <c r="I21" s="1"/>
      <c r="J21" s="1"/>
      <c r="K21" s="1"/>
      <c r="L21" s="1"/>
      <c r="M21" s="1"/>
      <c r="N21" s="1"/>
      <c r="O21" s="1"/>
      <c r="P21" s="1"/>
      <c r="Q21" s="1"/>
      <c r="R21" s="1"/>
      <c r="S21" s="1"/>
      <c r="T21" s="1"/>
    </row>
    <row r="22" spans="1:21" ht="15" x14ac:dyDescent="0.2">
      <c r="A22" s="100" t="s">
        <v>2</v>
      </c>
      <c r="B22" s="848" t="s">
        <v>1171</v>
      </c>
      <c r="C22" s="848"/>
      <c r="D22" s="848"/>
      <c r="E22" s="848"/>
      <c r="F22" s="848"/>
      <c r="G22" s="848"/>
      <c r="H22" s="848"/>
      <c r="I22" s="848"/>
      <c r="J22" s="848"/>
      <c r="K22" s="848"/>
      <c r="L22" s="848"/>
      <c r="M22" s="848"/>
      <c r="N22" s="848"/>
      <c r="O22" s="848"/>
      <c r="P22" s="848"/>
      <c r="Q22" s="848"/>
      <c r="R22" s="848"/>
      <c r="S22" s="848"/>
      <c r="T22" s="848"/>
      <c r="U22" s="848"/>
    </row>
    <row r="23" spans="1:21" ht="15" x14ac:dyDescent="0.2">
      <c r="A23" s="100" t="s">
        <v>3</v>
      </c>
      <c r="B23" s="848" t="s">
        <v>1172</v>
      </c>
      <c r="C23" s="848"/>
      <c r="D23" s="848"/>
      <c r="E23" s="848"/>
      <c r="F23" s="848"/>
      <c r="G23" s="848"/>
      <c r="H23" s="848"/>
      <c r="I23" s="848"/>
      <c r="J23" s="848"/>
      <c r="K23" s="848"/>
      <c r="L23" s="848"/>
      <c r="M23" s="848"/>
      <c r="N23" s="848"/>
      <c r="O23" s="848"/>
      <c r="P23" s="848"/>
      <c r="Q23" s="848"/>
      <c r="R23" s="848"/>
      <c r="S23" s="848"/>
      <c r="T23" s="848"/>
      <c r="U23" s="848"/>
    </row>
    <row r="24" spans="1:21" ht="19.5" customHeight="1" x14ac:dyDescent="0.2">
      <c r="A24" s="100" t="s">
        <v>5</v>
      </c>
      <c r="B24" s="848" t="s">
        <v>1173</v>
      </c>
      <c r="C24" s="848"/>
      <c r="D24" s="848"/>
      <c r="E24" s="848"/>
      <c r="F24" s="848"/>
      <c r="G24" s="848"/>
      <c r="H24" s="848"/>
      <c r="I24" s="848"/>
      <c r="J24" s="848"/>
      <c r="K24" s="848"/>
      <c r="L24" s="848"/>
      <c r="M24" s="848"/>
      <c r="N24" s="848"/>
      <c r="O24" s="848"/>
      <c r="P24" s="848"/>
      <c r="Q24" s="848"/>
      <c r="R24" s="848"/>
      <c r="S24" s="848"/>
      <c r="T24" s="848"/>
      <c r="U24" s="848"/>
    </row>
    <row r="25" spans="1:21" ht="15" x14ac:dyDescent="0.2">
      <c r="A25" s="126"/>
      <c r="B25" s="101"/>
      <c r="C25" s="126"/>
      <c r="D25" s="101"/>
      <c r="E25" s="101"/>
      <c r="F25" s="126"/>
      <c r="G25" s="101"/>
      <c r="H25" s="101"/>
      <c r="I25" s="101"/>
      <c r="J25" s="101"/>
      <c r="K25" s="101"/>
      <c r="L25" s="101"/>
      <c r="M25" s="101"/>
      <c r="N25" s="101"/>
      <c r="O25" s="101"/>
      <c r="P25" s="101"/>
      <c r="Q25" s="101"/>
      <c r="R25" s="101"/>
      <c r="S25" s="101"/>
      <c r="T25" s="101"/>
      <c r="U25" s="101"/>
    </row>
    <row r="26" spans="1:21" s="415" customFormat="1" ht="24" customHeight="1" x14ac:dyDescent="0.25">
      <c r="A26" s="856" t="s">
        <v>6</v>
      </c>
      <c r="B26" s="856" t="s">
        <v>7</v>
      </c>
      <c r="C26" s="856" t="s">
        <v>8</v>
      </c>
      <c r="D26" s="1011" t="s">
        <v>190</v>
      </c>
      <c r="E26" s="1013"/>
      <c r="F26" s="856" t="s">
        <v>10</v>
      </c>
      <c r="G26" s="1011" t="s">
        <v>11</v>
      </c>
      <c r="H26" s="1012"/>
      <c r="I26" s="1013"/>
      <c r="J26" s="1011" t="s">
        <v>12</v>
      </c>
      <c r="K26" s="1012"/>
      <c r="L26" s="1013"/>
      <c r="M26" s="1011" t="s">
        <v>13</v>
      </c>
      <c r="N26" s="1012"/>
      <c r="O26" s="1013"/>
      <c r="P26" s="1011" t="s">
        <v>14</v>
      </c>
      <c r="Q26" s="1012"/>
      <c r="R26" s="1013"/>
      <c r="S26" s="856" t="s">
        <v>15</v>
      </c>
      <c r="T26" s="856" t="s">
        <v>16</v>
      </c>
      <c r="U26" s="856" t="s">
        <v>284</v>
      </c>
    </row>
    <row r="27" spans="1:21" s="4" customFormat="1" ht="53.25" customHeight="1" x14ac:dyDescent="0.25">
      <c r="A27" s="857"/>
      <c r="B27" s="857"/>
      <c r="C27" s="857"/>
      <c r="D27" s="96" t="s">
        <v>17</v>
      </c>
      <c r="E27" s="96" t="s">
        <v>18</v>
      </c>
      <c r="F27" s="857"/>
      <c r="G27" s="96" t="s">
        <v>19</v>
      </c>
      <c r="H27" s="96" t="s">
        <v>20</v>
      </c>
      <c r="I27" s="96" t="s">
        <v>21</v>
      </c>
      <c r="J27" s="96" t="s">
        <v>22</v>
      </c>
      <c r="K27" s="96" t="s">
        <v>23</v>
      </c>
      <c r="L27" s="96" t="s">
        <v>24</v>
      </c>
      <c r="M27" s="96" t="s">
        <v>25</v>
      </c>
      <c r="N27" s="96" t="s">
        <v>26</v>
      </c>
      <c r="O27" s="96" t="s">
        <v>27</v>
      </c>
      <c r="P27" s="96" t="s">
        <v>28</v>
      </c>
      <c r="Q27" s="96" t="s">
        <v>29</v>
      </c>
      <c r="R27" s="96" t="s">
        <v>30</v>
      </c>
      <c r="S27" s="857"/>
      <c r="T27" s="857"/>
      <c r="U27" s="857"/>
    </row>
    <row r="28" spans="1:21" ht="75" x14ac:dyDescent="0.2">
      <c r="A28" s="113" t="s">
        <v>1350</v>
      </c>
      <c r="B28" s="113" t="s">
        <v>1174</v>
      </c>
      <c r="C28" s="113" t="s">
        <v>1175</v>
      </c>
      <c r="D28" s="573" t="s">
        <v>18</v>
      </c>
      <c r="E28" s="573">
        <v>3</v>
      </c>
      <c r="F28" s="113" t="s">
        <v>1225</v>
      </c>
      <c r="G28" s="573"/>
      <c r="H28" s="573"/>
      <c r="I28" s="573"/>
      <c r="J28" s="573">
        <v>1</v>
      </c>
      <c r="K28" s="573"/>
      <c r="L28" s="164"/>
      <c r="M28" s="164"/>
      <c r="N28" s="164">
        <v>1</v>
      </c>
      <c r="O28" s="135"/>
      <c r="P28" s="573"/>
      <c r="Q28" s="573"/>
      <c r="R28" s="573">
        <v>1</v>
      </c>
      <c r="S28" s="704">
        <v>0</v>
      </c>
      <c r="T28" s="135" t="s">
        <v>523</v>
      </c>
      <c r="U28" s="135"/>
    </row>
    <row r="29" spans="1:21" ht="90" x14ac:dyDescent="0.2">
      <c r="A29" s="132" t="s">
        <v>1226</v>
      </c>
      <c r="B29" s="132" t="s">
        <v>1176</v>
      </c>
      <c r="C29" s="132" t="s">
        <v>1177</v>
      </c>
      <c r="D29" s="131" t="s">
        <v>18</v>
      </c>
      <c r="E29" s="542">
        <v>12</v>
      </c>
      <c r="F29" s="132" t="s">
        <v>1227</v>
      </c>
      <c r="G29" s="131">
        <v>1</v>
      </c>
      <c r="H29" s="131">
        <v>1</v>
      </c>
      <c r="I29" s="131">
        <v>1</v>
      </c>
      <c r="J29" s="131">
        <v>1</v>
      </c>
      <c r="K29" s="131">
        <v>1</v>
      </c>
      <c r="L29" s="131">
        <v>1</v>
      </c>
      <c r="M29" s="131">
        <v>1</v>
      </c>
      <c r="N29" s="131">
        <v>1</v>
      </c>
      <c r="O29" s="131">
        <v>1</v>
      </c>
      <c r="P29" s="131">
        <v>1</v>
      </c>
      <c r="Q29" s="131">
        <v>1</v>
      </c>
      <c r="R29" s="131">
        <v>1</v>
      </c>
      <c r="S29" s="705">
        <f>'Presupuesto Juridico'!U23</f>
        <v>20000</v>
      </c>
      <c r="T29" s="131" t="s">
        <v>523</v>
      </c>
      <c r="U29" s="131"/>
    </row>
    <row r="30" spans="1:21" s="6" customFormat="1" ht="90" x14ac:dyDescent="0.2">
      <c r="A30" s="149" t="s">
        <v>1228</v>
      </c>
      <c r="B30" s="149" t="s">
        <v>1178</v>
      </c>
      <c r="C30" s="149" t="s">
        <v>1177</v>
      </c>
      <c r="D30" s="135" t="s">
        <v>18</v>
      </c>
      <c r="E30" s="573">
        <v>12</v>
      </c>
      <c r="F30" s="149" t="s">
        <v>1229</v>
      </c>
      <c r="G30" s="135">
        <v>1</v>
      </c>
      <c r="H30" s="135">
        <v>1</v>
      </c>
      <c r="I30" s="135">
        <v>1</v>
      </c>
      <c r="J30" s="135">
        <v>1</v>
      </c>
      <c r="K30" s="135">
        <v>1</v>
      </c>
      <c r="L30" s="135">
        <v>1</v>
      </c>
      <c r="M30" s="135">
        <v>1</v>
      </c>
      <c r="N30" s="135">
        <v>1</v>
      </c>
      <c r="O30" s="135">
        <v>1</v>
      </c>
      <c r="P30" s="135">
        <v>1</v>
      </c>
      <c r="Q30" s="135">
        <v>1</v>
      </c>
      <c r="R30" s="135">
        <v>1</v>
      </c>
      <c r="S30" s="704">
        <f>'Presupuesto Juridico'!U24</f>
        <v>60000</v>
      </c>
      <c r="T30" s="135" t="s">
        <v>523</v>
      </c>
      <c r="U30" s="135"/>
    </row>
    <row r="31" spans="1:21" ht="90" x14ac:dyDescent="0.2">
      <c r="A31" s="132" t="s">
        <v>1230</v>
      </c>
      <c r="B31" s="132" t="s">
        <v>1176</v>
      </c>
      <c r="C31" s="132" t="s">
        <v>1177</v>
      </c>
      <c r="D31" s="131" t="s">
        <v>18</v>
      </c>
      <c r="E31" s="542">
        <v>12</v>
      </c>
      <c r="F31" s="132" t="s">
        <v>1231</v>
      </c>
      <c r="G31" s="131">
        <v>1</v>
      </c>
      <c r="H31" s="131">
        <v>1</v>
      </c>
      <c r="I31" s="131">
        <v>1</v>
      </c>
      <c r="J31" s="131">
        <v>1</v>
      </c>
      <c r="K31" s="131">
        <v>1</v>
      </c>
      <c r="L31" s="131">
        <v>1</v>
      </c>
      <c r="M31" s="131">
        <v>1</v>
      </c>
      <c r="N31" s="131">
        <v>1</v>
      </c>
      <c r="O31" s="131">
        <v>1</v>
      </c>
      <c r="P31" s="131">
        <v>1</v>
      </c>
      <c r="Q31" s="131">
        <v>1</v>
      </c>
      <c r="R31" s="131">
        <v>1</v>
      </c>
      <c r="S31" s="705">
        <f>'Presupuesto Juridico'!U25</f>
        <v>120000</v>
      </c>
      <c r="T31" s="131" t="s">
        <v>523</v>
      </c>
      <c r="U31" s="131"/>
    </row>
    <row r="32" spans="1:21" s="6" customFormat="1" ht="60" x14ac:dyDescent="0.2">
      <c r="A32" s="149" t="s">
        <v>1232</v>
      </c>
      <c r="B32" s="149" t="s">
        <v>1179</v>
      </c>
      <c r="C32" s="149" t="s">
        <v>1180</v>
      </c>
      <c r="D32" s="135" t="s">
        <v>31</v>
      </c>
      <c r="E32" s="240">
        <v>1</v>
      </c>
      <c r="F32" s="149" t="s">
        <v>1233</v>
      </c>
      <c r="G32" s="135"/>
      <c r="H32" s="135"/>
      <c r="I32" s="135"/>
      <c r="J32" s="135"/>
      <c r="K32" s="135"/>
      <c r="L32" s="135"/>
      <c r="M32" s="135"/>
      <c r="N32" s="135"/>
      <c r="O32" s="135"/>
      <c r="P32" s="135"/>
      <c r="Q32" s="135"/>
      <c r="R32" s="240">
        <v>1</v>
      </c>
      <c r="S32" s="706"/>
      <c r="T32" s="135" t="s">
        <v>523</v>
      </c>
      <c r="U32" s="135"/>
    </row>
    <row r="33" spans="1:21" customFormat="1" ht="15.75" x14ac:dyDescent="0.25">
      <c r="A33" s="844"/>
      <c r="B33" s="844"/>
      <c r="C33" s="844"/>
      <c r="D33" s="844"/>
      <c r="E33" s="844"/>
      <c r="F33" s="844"/>
      <c r="G33" s="844"/>
      <c r="H33" s="844"/>
      <c r="I33" s="844"/>
      <c r="J33" s="844"/>
      <c r="K33" s="844"/>
      <c r="L33" s="844"/>
      <c r="M33" s="844"/>
      <c r="N33" s="844"/>
      <c r="O33" s="844"/>
      <c r="P33" s="844"/>
      <c r="Q33" s="844"/>
      <c r="R33" s="844"/>
      <c r="S33" s="123">
        <f>SUM(S28:S32)</f>
        <v>200000</v>
      </c>
      <c r="T33" s="124"/>
      <c r="U33" s="362"/>
    </row>
    <row r="39" spans="1:21" x14ac:dyDescent="0.2">
      <c r="B39" s="24"/>
      <c r="C39" s="92"/>
      <c r="F39" s="2"/>
    </row>
    <row r="40" spans="1:21" ht="15.75" customHeight="1" x14ac:dyDescent="0.2">
      <c r="B40" s="853"/>
      <c r="C40" s="853"/>
      <c r="D40" s="853"/>
      <c r="E40" s="101"/>
      <c r="F40" s="101"/>
      <c r="G40" s="1009"/>
      <c r="H40" s="1009"/>
      <c r="I40" s="1009"/>
      <c r="K40" s="126"/>
      <c r="L40" s="539"/>
      <c r="M40" s="539"/>
      <c r="N40" s="539"/>
      <c r="P40" s="101"/>
    </row>
    <row r="41" spans="1:21" ht="15" x14ac:dyDescent="0.2">
      <c r="B41" s="854" t="s">
        <v>1234</v>
      </c>
      <c r="C41" s="854"/>
      <c r="D41" s="854"/>
      <c r="E41" s="101"/>
      <c r="F41" s="101"/>
      <c r="G41" s="1010" t="s">
        <v>536</v>
      </c>
      <c r="H41" s="1010"/>
      <c r="I41" s="1010"/>
      <c r="K41" s="151"/>
      <c r="L41" s="854" t="s">
        <v>537</v>
      </c>
      <c r="M41" s="854"/>
      <c r="N41" s="854"/>
      <c r="P41" s="101"/>
    </row>
    <row r="42" spans="1:21" ht="15" x14ac:dyDescent="0.2">
      <c r="B42" s="851" t="s">
        <v>1235</v>
      </c>
      <c r="C42" s="851"/>
      <c r="D42" s="851"/>
      <c r="E42" s="101"/>
      <c r="F42" s="101"/>
      <c r="G42" s="851" t="s">
        <v>546</v>
      </c>
      <c r="H42" s="851"/>
      <c r="I42" s="851"/>
      <c r="K42" s="101"/>
      <c r="L42" s="851" t="s">
        <v>538</v>
      </c>
      <c r="M42" s="851"/>
      <c r="N42" s="851"/>
      <c r="P42" s="101"/>
    </row>
    <row r="43" spans="1:21" ht="15" x14ac:dyDescent="0.2">
      <c r="F43" s="2"/>
      <c r="H43" s="103"/>
      <c r="I43" s="103"/>
    </row>
  </sheetData>
  <mergeCells count="26">
    <mergeCell ref="A19:T19"/>
    <mergeCell ref="A20:T20"/>
    <mergeCell ref="B22:U22"/>
    <mergeCell ref="B23:U23"/>
    <mergeCell ref="B24:U24"/>
    <mergeCell ref="L41:N41"/>
    <mergeCell ref="L42:N42"/>
    <mergeCell ref="A33:R33"/>
    <mergeCell ref="U26:U27"/>
    <mergeCell ref="G26:I26"/>
    <mergeCell ref="J26:L26"/>
    <mergeCell ref="M26:O26"/>
    <mergeCell ref="P26:R26"/>
    <mergeCell ref="S26:S27"/>
    <mergeCell ref="T26:T27"/>
    <mergeCell ref="A26:A27"/>
    <mergeCell ref="B26:B27"/>
    <mergeCell ref="C26:C27"/>
    <mergeCell ref="D26:E26"/>
    <mergeCell ref="F26:F27"/>
    <mergeCell ref="B42:D42"/>
    <mergeCell ref="G40:I40"/>
    <mergeCell ref="G41:I41"/>
    <mergeCell ref="G42:I42"/>
    <mergeCell ref="B40:D40"/>
    <mergeCell ref="B41:D41"/>
  </mergeCells>
  <pageMargins left="0.23622047244094491" right="0.23622047244094491" top="0.39370078740157483" bottom="0.39370078740157483" header="0.31496062992125984" footer="0.31496062992125984"/>
  <pageSetup paperSize="5" scale="29" fitToHeight="0" orientation="landscape" r:id="rId1"/>
  <headerFooter>
    <oddFooter>&amp;CPágina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99C45-5DBA-4E6C-996D-6350F737A9DC}">
  <sheetPr codeName="Sheet2"/>
  <dimension ref="A1:AB42"/>
  <sheetViews>
    <sheetView workbookViewId="0"/>
  </sheetViews>
  <sheetFormatPr defaultColWidth="8.85546875" defaultRowHeight="15" x14ac:dyDescent="0.25"/>
  <cols>
    <col min="1" max="13" width="8.85546875" style="52"/>
  </cols>
  <sheetData>
    <row r="1" spans="1:26" ht="15.75" thickBot="1" x14ac:dyDescent="0.3"/>
    <row r="2" spans="1:26" ht="15" customHeight="1" x14ac:dyDescent="0.25">
      <c r="A2" s="826" t="s">
        <v>664</v>
      </c>
      <c r="B2" s="827"/>
      <c r="C2" s="827"/>
      <c r="D2" s="827"/>
      <c r="E2" s="827"/>
      <c r="F2" s="827"/>
      <c r="G2" s="827"/>
      <c r="H2" s="827"/>
      <c r="I2" s="827"/>
      <c r="J2" s="827"/>
      <c r="K2" s="827"/>
      <c r="L2" s="827"/>
      <c r="M2" s="827"/>
      <c r="N2" s="828"/>
      <c r="O2" s="835" t="s">
        <v>665</v>
      </c>
      <c r="P2" s="836"/>
      <c r="Q2" s="836"/>
      <c r="R2" s="836"/>
      <c r="S2" s="836"/>
      <c r="T2" s="836"/>
      <c r="U2" s="836"/>
      <c r="V2" s="836"/>
      <c r="W2" s="836"/>
      <c r="X2" s="836"/>
      <c r="Y2" s="836"/>
      <c r="Z2" s="837"/>
    </row>
    <row r="3" spans="1:26" x14ac:dyDescent="0.25">
      <c r="A3" s="829"/>
      <c r="B3" s="830"/>
      <c r="C3" s="830"/>
      <c r="D3" s="830"/>
      <c r="E3" s="830"/>
      <c r="F3" s="830"/>
      <c r="G3" s="830"/>
      <c r="H3" s="830"/>
      <c r="I3" s="830"/>
      <c r="J3" s="830"/>
      <c r="K3" s="830"/>
      <c r="L3" s="830"/>
      <c r="M3" s="830"/>
      <c r="N3" s="831"/>
      <c r="O3" s="838"/>
      <c r="P3" s="839"/>
      <c r="Q3" s="839"/>
      <c r="R3" s="839"/>
      <c r="S3" s="839"/>
      <c r="T3" s="839"/>
      <c r="U3" s="839"/>
      <c r="V3" s="839"/>
      <c r="W3" s="839"/>
      <c r="X3" s="839"/>
      <c r="Y3" s="839"/>
      <c r="Z3" s="840"/>
    </row>
    <row r="4" spans="1:26" x14ac:dyDescent="0.25">
      <c r="A4" s="829"/>
      <c r="B4" s="830"/>
      <c r="C4" s="830"/>
      <c r="D4" s="830"/>
      <c r="E4" s="830"/>
      <c r="F4" s="830"/>
      <c r="G4" s="830"/>
      <c r="H4" s="830"/>
      <c r="I4" s="830"/>
      <c r="J4" s="830"/>
      <c r="K4" s="830"/>
      <c r="L4" s="830"/>
      <c r="M4" s="830"/>
      <c r="N4" s="831"/>
      <c r="O4" s="838"/>
      <c r="P4" s="839"/>
      <c r="Q4" s="839"/>
      <c r="R4" s="839"/>
      <c r="S4" s="839"/>
      <c r="T4" s="839"/>
      <c r="U4" s="839"/>
      <c r="V4" s="839"/>
      <c r="W4" s="839"/>
      <c r="X4" s="839"/>
      <c r="Y4" s="839"/>
      <c r="Z4" s="840"/>
    </row>
    <row r="5" spans="1:26" x14ac:dyDescent="0.25">
      <c r="A5" s="829"/>
      <c r="B5" s="830"/>
      <c r="C5" s="830"/>
      <c r="D5" s="830"/>
      <c r="E5" s="830"/>
      <c r="F5" s="830"/>
      <c r="G5" s="830"/>
      <c r="H5" s="830"/>
      <c r="I5" s="830"/>
      <c r="J5" s="830"/>
      <c r="K5" s="830"/>
      <c r="L5" s="830"/>
      <c r="M5" s="830"/>
      <c r="N5" s="831"/>
      <c r="O5" s="838"/>
      <c r="P5" s="839"/>
      <c r="Q5" s="839"/>
      <c r="R5" s="839"/>
      <c r="S5" s="839"/>
      <c r="T5" s="839"/>
      <c r="U5" s="839"/>
      <c r="V5" s="839"/>
      <c r="W5" s="839"/>
      <c r="X5" s="839"/>
      <c r="Y5" s="839"/>
      <c r="Z5" s="840"/>
    </row>
    <row r="6" spans="1:26" x14ac:dyDescent="0.25">
      <c r="A6" s="829"/>
      <c r="B6" s="830"/>
      <c r="C6" s="830"/>
      <c r="D6" s="830"/>
      <c r="E6" s="830"/>
      <c r="F6" s="830"/>
      <c r="G6" s="830"/>
      <c r="H6" s="830"/>
      <c r="I6" s="830"/>
      <c r="J6" s="830"/>
      <c r="K6" s="830"/>
      <c r="L6" s="830"/>
      <c r="M6" s="830"/>
      <c r="N6" s="831"/>
      <c r="O6" s="838"/>
      <c r="P6" s="839"/>
      <c r="Q6" s="839"/>
      <c r="R6" s="839"/>
      <c r="S6" s="839"/>
      <c r="T6" s="839"/>
      <c r="U6" s="839"/>
      <c r="V6" s="839"/>
      <c r="W6" s="839"/>
      <c r="X6" s="839"/>
      <c r="Y6" s="839"/>
      <c r="Z6" s="840"/>
    </row>
    <row r="7" spans="1:26" x14ac:dyDescent="0.25">
      <c r="A7" s="829"/>
      <c r="B7" s="830"/>
      <c r="C7" s="830"/>
      <c r="D7" s="830"/>
      <c r="E7" s="830"/>
      <c r="F7" s="830"/>
      <c r="G7" s="830"/>
      <c r="H7" s="830"/>
      <c r="I7" s="830"/>
      <c r="J7" s="830"/>
      <c r="K7" s="830"/>
      <c r="L7" s="830"/>
      <c r="M7" s="830"/>
      <c r="N7" s="831"/>
      <c r="O7" s="838"/>
      <c r="P7" s="839"/>
      <c r="Q7" s="839"/>
      <c r="R7" s="839"/>
      <c r="S7" s="839"/>
      <c r="T7" s="839"/>
      <c r="U7" s="839"/>
      <c r="V7" s="839"/>
      <c r="W7" s="839"/>
      <c r="X7" s="839"/>
      <c r="Y7" s="839"/>
      <c r="Z7" s="840"/>
    </row>
    <row r="8" spans="1:26" x14ac:dyDescent="0.25">
      <c r="A8" s="829"/>
      <c r="B8" s="830"/>
      <c r="C8" s="830"/>
      <c r="D8" s="830"/>
      <c r="E8" s="830"/>
      <c r="F8" s="830"/>
      <c r="G8" s="830"/>
      <c r="H8" s="830"/>
      <c r="I8" s="830"/>
      <c r="J8" s="830"/>
      <c r="K8" s="830"/>
      <c r="L8" s="830"/>
      <c r="M8" s="830"/>
      <c r="N8" s="831"/>
      <c r="O8" s="838"/>
      <c r="P8" s="839"/>
      <c r="Q8" s="839"/>
      <c r="R8" s="839"/>
      <c r="S8" s="839"/>
      <c r="T8" s="839"/>
      <c r="U8" s="839"/>
      <c r="V8" s="839"/>
      <c r="W8" s="839"/>
      <c r="X8" s="839"/>
      <c r="Y8" s="839"/>
      <c r="Z8" s="840"/>
    </row>
    <row r="9" spans="1:26" x14ac:dyDescent="0.25">
      <c r="A9" s="829"/>
      <c r="B9" s="830"/>
      <c r="C9" s="830"/>
      <c r="D9" s="830"/>
      <c r="E9" s="830"/>
      <c r="F9" s="830"/>
      <c r="G9" s="830"/>
      <c r="H9" s="830"/>
      <c r="I9" s="830"/>
      <c r="J9" s="830"/>
      <c r="K9" s="830"/>
      <c r="L9" s="830"/>
      <c r="M9" s="830"/>
      <c r="N9" s="831"/>
      <c r="O9" s="838"/>
      <c r="P9" s="839"/>
      <c r="Q9" s="839"/>
      <c r="R9" s="839"/>
      <c r="S9" s="839"/>
      <c r="T9" s="839"/>
      <c r="U9" s="839"/>
      <c r="V9" s="839"/>
      <c r="W9" s="839"/>
      <c r="X9" s="839"/>
      <c r="Y9" s="839"/>
      <c r="Z9" s="840"/>
    </row>
    <row r="10" spans="1:26" x14ac:dyDescent="0.25">
      <c r="A10" s="829"/>
      <c r="B10" s="830"/>
      <c r="C10" s="830"/>
      <c r="D10" s="830"/>
      <c r="E10" s="830"/>
      <c r="F10" s="830"/>
      <c r="G10" s="830"/>
      <c r="H10" s="830"/>
      <c r="I10" s="830"/>
      <c r="J10" s="830"/>
      <c r="K10" s="830"/>
      <c r="L10" s="830"/>
      <c r="M10" s="830"/>
      <c r="N10" s="831"/>
      <c r="O10" s="838"/>
      <c r="P10" s="839"/>
      <c r="Q10" s="839"/>
      <c r="R10" s="839"/>
      <c r="S10" s="839"/>
      <c r="T10" s="839"/>
      <c r="U10" s="839"/>
      <c r="V10" s="839"/>
      <c r="W10" s="839"/>
      <c r="X10" s="839"/>
      <c r="Y10" s="839"/>
      <c r="Z10" s="840"/>
    </row>
    <row r="11" spans="1:26" x14ac:dyDescent="0.25">
      <c r="A11" s="829"/>
      <c r="B11" s="830"/>
      <c r="C11" s="830"/>
      <c r="D11" s="830"/>
      <c r="E11" s="830"/>
      <c r="F11" s="830"/>
      <c r="G11" s="830"/>
      <c r="H11" s="830"/>
      <c r="I11" s="830"/>
      <c r="J11" s="830"/>
      <c r="K11" s="830"/>
      <c r="L11" s="830"/>
      <c r="M11" s="830"/>
      <c r="N11" s="831"/>
      <c r="O11" s="838"/>
      <c r="P11" s="839"/>
      <c r="Q11" s="839"/>
      <c r="R11" s="839"/>
      <c r="S11" s="839"/>
      <c r="T11" s="839"/>
      <c r="U11" s="839"/>
      <c r="V11" s="839"/>
      <c r="W11" s="839"/>
      <c r="X11" s="839"/>
      <c r="Y11" s="839"/>
      <c r="Z11" s="840"/>
    </row>
    <row r="12" spans="1:26" x14ac:dyDescent="0.25">
      <c r="A12" s="829"/>
      <c r="B12" s="830"/>
      <c r="C12" s="830"/>
      <c r="D12" s="830"/>
      <c r="E12" s="830"/>
      <c r="F12" s="830"/>
      <c r="G12" s="830"/>
      <c r="H12" s="830"/>
      <c r="I12" s="830"/>
      <c r="J12" s="830"/>
      <c r="K12" s="830"/>
      <c r="L12" s="830"/>
      <c r="M12" s="830"/>
      <c r="N12" s="831"/>
      <c r="O12" s="838"/>
      <c r="P12" s="839"/>
      <c r="Q12" s="839"/>
      <c r="R12" s="839"/>
      <c r="S12" s="839"/>
      <c r="T12" s="839"/>
      <c r="U12" s="839"/>
      <c r="V12" s="839"/>
      <c r="W12" s="839"/>
      <c r="X12" s="839"/>
      <c r="Y12" s="839"/>
      <c r="Z12" s="840"/>
    </row>
    <row r="13" spans="1:26" x14ac:dyDescent="0.25">
      <c r="A13" s="829"/>
      <c r="B13" s="830"/>
      <c r="C13" s="830"/>
      <c r="D13" s="830"/>
      <c r="E13" s="830"/>
      <c r="F13" s="830"/>
      <c r="G13" s="830"/>
      <c r="H13" s="830"/>
      <c r="I13" s="830"/>
      <c r="J13" s="830"/>
      <c r="K13" s="830"/>
      <c r="L13" s="830"/>
      <c r="M13" s="830"/>
      <c r="N13" s="831"/>
      <c r="O13" s="838"/>
      <c r="P13" s="839"/>
      <c r="Q13" s="839"/>
      <c r="R13" s="839"/>
      <c r="S13" s="839"/>
      <c r="T13" s="839"/>
      <c r="U13" s="839"/>
      <c r="V13" s="839"/>
      <c r="W13" s="839"/>
      <c r="X13" s="839"/>
      <c r="Y13" s="839"/>
      <c r="Z13" s="840"/>
    </row>
    <row r="14" spans="1:26" x14ac:dyDescent="0.25">
      <c r="A14" s="829"/>
      <c r="B14" s="830"/>
      <c r="C14" s="830"/>
      <c r="D14" s="830"/>
      <c r="E14" s="830"/>
      <c r="F14" s="830"/>
      <c r="G14" s="830"/>
      <c r="H14" s="830"/>
      <c r="I14" s="830"/>
      <c r="J14" s="830"/>
      <c r="K14" s="830"/>
      <c r="L14" s="830"/>
      <c r="M14" s="830"/>
      <c r="N14" s="831"/>
      <c r="O14" s="838"/>
      <c r="P14" s="839"/>
      <c r="Q14" s="839"/>
      <c r="R14" s="839"/>
      <c r="S14" s="839"/>
      <c r="T14" s="839"/>
      <c r="U14" s="839"/>
      <c r="V14" s="839"/>
      <c r="W14" s="839"/>
      <c r="X14" s="839"/>
      <c r="Y14" s="839"/>
      <c r="Z14" s="840"/>
    </row>
    <row r="15" spans="1:26" x14ac:dyDescent="0.25">
      <c r="A15" s="829"/>
      <c r="B15" s="830"/>
      <c r="C15" s="830"/>
      <c r="D15" s="830"/>
      <c r="E15" s="830"/>
      <c r="F15" s="830"/>
      <c r="G15" s="830"/>
      <c r="H15" s="830"/>
      <c r="I15" s="830"/>
      <c r="J15" s="830"/>
      <c r="K15" s="830"/>
      <c r="L15" s="830"/>
      <c r="M15" s="830"/>
      <c r="N15" s="831"/>
      <c r="O15" s="838"/>
      <c r="P15" s="839"/>
      <c r="Q15" s="839"/>
      <c r="R15" s="839"/>
      <c r="S15" s="839"/>
      <c r="T15" s="839"/>
      <c r="U15" s="839"/>
      <c r="V15" s="839"/>
      <c r="W15" s="839"/>
      <c r="X15" s="839"/>
      <c r="Y15" s="839"/>
      <c r="Z15" s="840"/>
    </row>
    <row r="16" spans="1:26" x14ac:dyDescent="0.25">
      <c r="A16" s="829"/>
      <c r="B16" s="830"/>
      <c r="C16" s="830"/>
      <c r="D16" s="830"/>
      <c r="E16" s="830"/>
      <c r="F16" s="830"/>
      <c r="G16" s="830"/>
      <c r="H16" s="830"/>
      <c r="I16" s="830"/>
      <c r="J16" s="830"/>
      <c r="K16" s="830"/>
      <c r="L16" s="830"/>
      <c r="M16" s="830"/>
      <c r="N16" s="831"/>
      <c r="O16" s="838"/>
      <c r="P16" s="839"/>
      <c r="Q16" s="839"/>
      <c r="R16" s="839"/>
      <c r="S16" s="839"/>
      <c r="T16" s="839"/>
      <c r="U16" s="839"/>
      <c r="V16" s="839"/>
      <c r="W16" s="839"/>
      <c r="X16" s="839"/>
      <c r="Y16" s="839"/>
      <c r="Z16" s="840"/>
    </row>
    <row r="17" spans="1:28" x14ac:dyDescent="0.25">
      <c r="A17" s="829"/>
      <c r="B17" s="830"/>
      <c r="C17" s="830"/>
      <c r="D17" s="830"/>
      <c r="E17" s="830"/>
      <c r="F17" s="830"/>
      <c r="G17" s="830"/>
      <c r="H17" s="830"/>
      <c r="I17" s="830"/>
      <c r="J17" s="830"/>
      <c r="K17" s="830"/>
      <c r="L17" s="830"/>
      <c r="M17" s="830"/>
      <c r="N17" s="831"/>
      <c r="O17" s="838"/>
      <c r="P17" s="839"/>
      <c r="Q17" s="839"/>
      <c r="R17" s="839"/>
      <c r="S17" s="839"/>
      <c r="T17" s="839"/>
      <c r="U17" s="839"/>
      <c r="V17" s="839"/>
      <c r="W17" s="839"/>
      <c r="X17" s="839"/>
      <c r="Y17" s="839"/>
      <c r="Z17" s="840"/>
    </row>
    <row r="18" spans="1:28" x14ac:dyDescent="0.25">
      <c r="A18" s="829"/>
      <c r="B18" s="830"/>
      <c r="C18" s="830"/>
      <c r="D18" s="830"/>
      <c r="E18" s="830"/>
      <c r="F18" s="830"/>
      <c r="G18" s="830"/>
      <c r="H18" s="830"/>
      <c r="I18" s="830"/>
      <c r="J18" s="830"/>
      <c r="K18" s="830"/>
      <c r="L18" s="830"/>
      <c r="M18" s="830"/>
      <c r="N18" s="831"/>
      <c r="O18" s="838"/>
      <c r="P18" s="839"/>
      <c r="Q18" s="839"/>
      <c r="R18" s="839"/>
      <c r="S18" s="839"/>
      <c r="T18" s="839"/>
      <c r="U18" s="839"/>
      <c r="V18" s="839"/>
      <c r="W18" s="839"/>
      <c r="X18" s="839"/>
      <c r="Y18" s="839"/>
      <c r="Z18" s="840"/>
    </row>
    <row r="19" spans="1:28" x14ac:dyDescent="0.25">
      <c r="A19" s="829"/>
      <c r="B19" s="830"/>
      <c r="C19" s="830"/>
      <c r="D19" s="830"/>
      <c r="E19" s="830"/>
      <c r="F19" s="830"/>
      <c r="G19" s="830"/>
      <c r="H19" s="830"/>
      <c r="I19" s="830"/>
      <c r="J19" s="830"/>
      <c r="K19" s="830"/>
      <c r="L19" s="830"/>
      <c r="M19" s="830"/>
      <c r="N19" s="831"/>
      <c r="O19" s="838"/>
      <c r="P19" s="839"/>
      <c r="Q19" s="839"/>
      <c r="R19" s="839"/>
      <c r="S19" s="839"/>
      <c r="T19" s="839"/>
      <c r="U19" s="839"/>
      <c r="V19" s="839"/>
      <c r="W19" s="839"/>
      <c r="X19" s="839"/>
      <c r="Y19" s="839"/>
      <c r="Z19" s="840"/>
    </row>
    <row r="20" spans="1:28" x14ac:dyDescent="0.25">
      <c r="A20" s="829"/>
      <c r="B20" s="830"/>
      <c r="C20" s="830"/>
      <c r="D20" s="830"/>
      <c r="E20" s="830"/>
      <c r="F20" s="830"/>
      <c r="G20" s="830"/>
      <c r="H20" s="830"/>
      <c r="I20" s="830"/>
      <c r="J20" s="830"/>
      <c r="K20" s="830"/>
      <c r="L20" s="830"/>
      <c r="M20" s="830"/>
      <c r="N20" s="831"/>
      <c r="O20" s="838"/>
      <c r="P20" s="839"/>
      <c r="Q20" s="839"/>
      <c r="R20" s="839"/>
      <c r="S20" s="839"/>
      <c r="T20" s="839"/>
      <c r="U20" s="839"/>
      <c r="V20" s="839"/>
      <c r="W20" s="839"/>
      <c r="X20" s="839"/>
      <c r="Y20" s="839"/>
      <c r="Z20" s="840"/>
    </row>
    <row r="21" spans="1:28" x14ac:dyDescent="0.25">
      <c r="A21" s="829"/>
      <c r="B21" s="830"/>
      <c r="C21" s="830"/>
      <c r="D21" s="830"/>
      <c r="E21" s="830"/>
      <c r="F21" s="830"/>
      <c r="G21" s="830"/>
      <c r="H21" s="830"/>
      <c r="I21" s="830"/>
      <c r="J21" s="830"/>
      <c r="K21" s="830"/>
      <c r="L21" s="830"/>
      <c r="M21" s="830"/>
      <c r="N21" s="831"/>
      <c r="O21" s="838"/>
      <c r="P21" s="839"/>
      <c r="Q21" s="839"/>
      <c r="R21" s="839"/>
      <c r="S21" s="839"/>
      <c r="T21" s="839"/>
      <c r="U21" s="839"/>
      <c r="V21" s="839"/>
      <c r="W21" s="839"/>
      <c r="X21" s="839"/>
      <c r="Y21" s="839"/>
      <c r="Z21" s="840"/>
    </row>
    <row r="22" spans="1:28" x14ac:dyDescent="0.25">
      <c r="A22" s="829"/>
      <c r="B22" s="830"/>
      <c r="C22" s="830"/>
      <c r="D22" s="830"/>
      <c r="E22" s="830"/>
      <c r="F22" s="830"/>
      <c r="G22" s="830"/>
      <c r="H22" s="830"/>
      <c r="I22" s="830"/>
      <c r="J22" s="830"/>
      <c r="K22" s="830"/>
      <c r="L22" s="830"/>
      <c r="M22" s="830"/>
      <c r="N22" s="831"/>
      <c r="O22" s="838"/>
      <c r="P22" s="839"/>
      <c r="Q22" s="839"/>
      <c r="R22" s="839"/>
      <c r="S22" s="839"/>
      <c r="T22" s="839"/>
      <c r="U22" s="839"/>
      <c r="V22" s="839"/>
      <c r="W22" s="839"/>
      <c r="X22" s="839"/>
      <c r="Y22" s="839"/>
      <c r="Z22" s="840"/>
    </row>
    <row r="23" spans="1:28" x14ac:dyDescent="0.25">
      <c r="A23" s="829"/>
      <c r="B23" s="830"/>
      <c r="C23" s="830"/>
      <c r="D23" s="830"/>
      <c r="E23" s="830"/>
      <c r="F23" s="830"/>
      <c r="G23" s="830"/>
      <c r="H23" s="830"/>
      <c r="I23" s="830"/>
      <c r="J23" s="830"/>
      <c r="K23" s="830"/>
      <c r="L23" s="830"/>
      <c r="M23" s="830"/>
      <c r="N23" s="831"/>
      <c r="O23" s="838"/>
      <c r="P23" s="839"/>
      <c r="Q23" s="839"/>
      <c r="R23" s="839"/>
      <c r="S23" s="839"/>
      <c r="T23" s="839"/>
      <c r="U23" s="839"/>
      <c r="V23" s="839"/>
      <c r="W23" s="839"/>
      <c r="X23" s="839"/>
      <c r="Y23" s="839"/>
      <c r="Z23" s="840"/>
      <c r="AB23" s="364"/>
    </row>
    <row r="24" spans="1:28" x14ac:dyDescent="0.25">
      <c r="A24" s="829"/>
      <c r="B24" s="830"/>
      <c r="C24" s="830"/>
      <c r="D24" s="830"/>
      <c r="E24" s="830"/>
      <c r="F24" s="830"/>
      <c r="G24" s="830"/>
      <c r="H24" s="830"/>
      <c r="I24" s="830"/>
      <c r="J24" s="830"/>
      <c r="K24" s="830"/>
      <c r="L24" s="830"/>
      <c r="M24" s="830"/>
      <c r="N24" s="831"/>
      <c r="O24" s="838"/>
      <c r="P24" s="839"/>
      <c r="Q24" s="839"/>
      <c r="R24" s="839"/>
      <c r="S24" s="839"/>
      <c r="T24" s="839"/>
      <c r="U24" s="839"/>
      <c r="V24" s="839"/>
      <c r="W24" s="839"/>
      <c r="X24" s="839"/>
      <c r="Y24" s="839"/>
      <c r="Z24" s="840"/>
      <c r="AB24" s="364"/>
    </row>
    <row r="25" spans="1:28" x14ac:dyDescent="0.25">
      <c r="A25" s="829"/>
      <c r="B25" s="830"/>
      <c r="C25" s="830"/>
      <c r="D25" s="830"/>
      <c r="E25" s="830"/>
      <c r="F25" s="830"/>
      <c r="G25" s="830"/>
      <c r="H25" s="830"/>
      <c r="I25" s="830"/>
      <c r="J25" s="830"/>
      <c r="K25" s="830"/>
      <c r="L25" s="830"/>
      <c r="M25" s="830"/>
      <c r="N25" s="831"/>
      <c r="O25" s="838"/>
      <c r="P25" s="839"/>
      <c r="Q25" s="839"/>
      <c r="R25" s="839"/>
      <c r="S25" s="839"/>
      <c r="T25" s="839"/>
      <c r="U25" s="839"/>
      <c r="V25" s="839"/>
      <c r="W25" s="839"/>
      <c r="X25" s="839"/>
      <c r="Y25" s="839"/>
      <c r="Z25" s="840"/>
    </row>
    <row r="26" spans="1:28" x14ac:dyDescent="0.25">
      <c r="A26" s="829"/>
      <c r="B26" s="830"/>
      <c r="C26" s="830"/>
      <c r="D26" s="830"/>
      <c r="E26" s="830"/>
      <c r="F26" s="830"/>
      <c r="G26" s="830"/>
      <c r="H26" s="830"/>
      <c r="I26" s="830"/>
      <c r="J26" s="830"/>
      <c r="K26" s="830"/>
      <c r="L26" s="830"/>
      <c r="M26" s="830"/>
      <c r="N26" s="831"/>
      <c r="O26" s="838"/>
      <c r="P26" s="839"/>
      <c r="Q26" s="839"/>
      <c r="R26" s="839"/>
      <c r="S26" s="839"/>
      <c r="T26" s="839"/>
      <c r="U26" s="839"/>
      <c r="V26" s="839"/>
      <c r="W26" s="839"/>
      <c r="X26" s="839"/>
      <c r="Y26" s="839"/>
      <c r="Z26" s="840"/>
    </row>
    <row r="27" spans="1:28" x14ac:dyDescent="0.25">
      <c r="A27" s="829"/>
      <c r="B27" s="830"/>
      <c r="C27" s="830"/>
      <c r="D27" s="830"/>
      <c r="E27" s="830"/>
      <c r="F27" s="830"/>
      <c r="G27" s="830"/>
      <c r="H27" s="830"/>
      <c r="I27" s="830"/>
      <c r="J27" s="830"/>
      <c r="K27" s="830"/>
      <c r="L27" s="830"/>
      <c r="M27" s="830"/>
      <c r="N27" s="831"/>
      <c r="O27" s="838"/>
      <c r="P27" s="839"/>
      <c r="Q27" s="839"/>
      <c r="R27" s="839"/>
      <c r="S27" s="839"/>
      <c r="T27" s="839"/>
      <c r="U27" s="839"/>
      <c r="V27" s="839"/>
      <c r="W27" s="839"/>
      <c r="X27" s="839"/>
      <c r="Y27" s="839"/>
      <c r="Z27" s="840"/>
    </row>
    <row r="28" spans="1:28" x14ac:dyDescent="0.25">
      <c r="A28" s="829"/>
      <c r="B28" s="830"/>
      <c r="C28" s="830"/>
      <c r="D28" s="830"/>
      <c r="E28" s="830"/>
      <c r="F28" s="830"/>
      <c r="G28" s="830"/>
      <c r="H28" s="830"/>
      <c r="I28" s="830"/>
      <c r="J28" s="830"/>
      <c r="K28" s="830"/>
      <c r="L28" s="830"/>
      <c r="M28" s="830"/>
      <c r="N28" s="831"/>
      <c r="O28" s="838"/>
      <c r="P28" s="839"/>
      <c r="Q28" s="839"/>
      <c r="R28" s="839"/>
      <c r="S28" s="839"/>
      <c r="T28" s="839"/>
      <c r="U28" s="839"/>
      <c r="V28" s="839"/>
      <c r="W28" s="839"/>
      <c r="X28" s="839"/>
      <c r="Y28" s="839"/>
      <c r="Z28" s="840"/>
    </row>
    <row r="29" spans="1:28" x14ac:dyDescent="0.25">
      <c r="A29" s="829"/>
      <c r="B29" s="830"/>
      <c r="C29" s="830"/>
      <c r="D29" s="830"/>
      <c r="E29" s="830"/>
      <c r="F29" s="830"/>
      <c r="G29" s="830"/>
      <c r="H29" s="830"/>
      <c r="I29" s="830"/>
      <c r="J29" s="830"/>
      <c r="K29" s="830"/>
      <c r="L29" s="830"/>
      <c r="M29" s="830"/>
      <c r="N29" s="831"/>
      <c r="O29" s="838"/>
      <c r="P29" s="839"/>
      <c r="Q29" s="839"/>
      <c r="R29" s="839"/>
      <c r="S29" s="839"/>
      <c r="T29" s="839"/>
      <c r="U29" s="839"/>
      <c r="V29" s="839"/>
      <c r="W29" s="839"/>
      <c r="X29" s="839"/>
      <c r="Y29" s="839"/>
      <c r="Z29" s="840"/>
    </row>
    <row r="30" spans="1:28" x14ac:dyDescent="0.25">
      <c r="A30" s="829"/>
      <c r="B30" s="830"/>
      <c r="C30" s="830"/>
      <c r="D30" s="830"/>
      <c r="E30" s="830"/>
      <c r="F30" s="830"/>
      <c r="G30" s="830"/>
      <c r="H30" s="830"/>
      <c r="I30" s="830"/>
      <c r="J30" s="830"/>
      <c r="K30" s="830"/>
      <c r="L30" s="830"/>
      <c r="M30" s="830"/>
      <c r="N30" s="831"/>
      <c r="O30" s="838"/>
      <c r="P30" s="839"/>
      <c r="Q30" s="839"/>
      <c r="R30" s="839"/>
      <c r="S30" s="839"/>
      <c r="T30" s="839"/>
      <c r="U30" s="839"/>
      <c r="V30" s="839"/>
      <c r="W30" s="839"/>
      <c r="X30" s="839"/>
      <c r="Y30" s="839"/>
      <c r="Z30" s="840"/>
    </row>
    <row r="31" spans="1:28" x14ac:dyDescent="0.25">
      <c r="A31" s="829"/>
      <c r="B31" s="830"/>
      <c r="C31" s="830"/>
      <c r="D31" s="830"/>
      <c r="E31" s="830"/>
      <c r="F31" s="830"/>
      <c r="G31" s="830"/>
      <c r="H31" s="830"/>
      <c r="I31" s="830"/>
      <c r="J31" s="830"/>
      <c r="K31" s="830"/>
      <c r="L31" s="830"/>
      <c r="M31" s="830"/>
      <c r="N31" s="831"/>
      <c r="O31" s="838"/>
      <c r="P31" s="839"/>
      <c r="Q31" s="839"/>
      <c r="R31" s="839"/>
      <c r="S31" s="839"/>
      <c r="T31" s="839"/>
      <c r="U31" s="839"/>
      <c r="V31" s="839"/>
      <c r="W31" s="839"/>
      <c r="X31" s="839"/>
      <c r="Y31" s="839"/>
      <c r="Z31" s="840"/>
    </row>
    <row r="32" spans="1:28" x14ac:dyDescent="0.25">
      <c r="A32" s="829"/>
      <c r="B32" s="830"/>
      <c r="C32" s="830"/>
      <c r="D32" s="830"/>
      <c r="E32" s="830"/>
      <c r="F32" s="830"/>
      <c r="G32" s="830"/>
      <c r="H32" s="830"/>
      <c r="I32" s="830"/>
      <c r="J32" s="830"/>
      <c r="K32" s="830"/>
      <c r="L32" s="830"/>
      <c r="M32" s="830"/>
      <c r="N32" s="831"/>
      <c r="O32" s="838"/>
      <c r="P32" s="839"/>
      <c r="Q32" s="839"/>
      <c r="R32" s="839"/>
      <c r="S32" s="839"/>
      <c r="T32" s="839"/>
      <c r="U32" s="839"/>
      <c r="V32" s="839"/>
      <c r="W32" s="839"/>
      <c r="X32" s="839"/>
      <c r="Y32" s="839"/>
      <c r="Z32" s="840"/>
    </row>
    <row r="33" spans="1:26" x14ac:dyDescent="0.25">
      <c r="A33" s="829"/>
      <c r="B33" s="830"/>
      <c r="C33" s="830"/>
      <c r="D33" s="830"/>
      <c r="E33" s="830"/>
      <c r="F33" s="830"/>
      <c r="G33" s="830"/>
      <c r="H33" s="830"/>
      <c r="I33" s="830"/>
      <c r="J33" s="830"/>
      <c r="K33" s="830"/>
      <c r="L33" s="830"/>
      <c r="M33" s="830"/>
      <c r="N33" s="831"/>
      <c r="O33" s="838"/>
      <c r="P33" s="839"/>
      <c r="Q33" s="839"/>
      <c r="R33" s="839"/>
      <c r="S33" s="839"/>
      <c r="T33" s="839"/>
      <c r="U33" s="839"/>
      <c r="V33" s="839"/>
      <c r="W33" s="839"/>
      <c r="X33" s="839"/>
      <c r="Y33" s="839"/>
      <c r="Z33" s="840"/>
    </row>
    <row r="34" spans="1:26" x14ac:dyDescent="0.25">
      <c r="A34" s="829"/>
      <c r="B34" s="830"/>
      <c r="C34" s="830"/>
      <c r="D34" s="830"/>
      <c r="E34" s="830"/>
      <c r="F34" s="830"/>
      <c r="G34" s="830"/>
      <c r="H34" s="830"/>
      <c r="I34" s="830"/>
      <c r="J34" s="830"/>
      <c r="K34" s="830"/>
      <c r="L34" s="830"/>
      <c r="M34" s="830"/>
      <c r="N34" s="831"/>
      <c r="O34" s="838"/>
      <c r="P34" s="839"/>
      <c r="Q34" s="839"/>
      <c r="R34" s="839"/>
      <c r="S34" s="839"/>
      <c r="T34" s="839"/>
      <c r="U34" s="839"/>
      <c r="V34" s="839"/>
      <c r="W34" s="839"/>
      <c r="X34" s="839"/>
      <c r="Y34" s="839"/>
      <c r="Z34" s="840"/>
    </row>
    <row r="35" spans="1:26" x14ac:dyDescent="0.25">
      <c r="A35" s="829"/>
      <c r="B35" s="830"/>
      <c r="C35" s="830"/>
      <c r="D35" s="830"/>
      <c r="E35" s="830"/>
      <c r="F35" s="830"/>
      <c r="G35" s="830"/>
      <c r="H35" s="830"/>
      <c r="I35" s="830"/>
      <c r="J35" s="830"/>
      <c r="K35" s="830"/>
      <c r="L35" s="830"/>
      <c r="M35" s="830"/>
      <c r="N35" s="831"/>
      <c r="O35" s="838"/>
      <c r="P35" s="839"/>
      <c r="Q35" s="839"/>
      <c r="R35" s="839"/>
      <c r="S35" s="839"/>
      <c r="T35" s="839"/>
      <c r="U35" s="839"/>
      <c r="V35" s="839"/>
      <c r="W35" s="839"/>
      <c r="X35" s="839"/>
      <c r="Y35" s="839"/>
      <c r="Z35" s="840"/>
    </row>
    <row r="36" spans="1:26" x14ac:dyDescent="0.25">
      <c r="A36" s="829"/>
      <c r="B36" s="830"/>
      <c r="C36" s="830"/>
      <c r="D36" s="830"/>
      <c r="E36" s="830"/>
      <c r="F36" s="830"/>
      <c r="G36" s="830"/>
      <c r="H36" s="830"/>
      <c r="I36" s="830"/>
      <c r="J36" s="830"/>
      <c r="K36" s="830"/>
      <c r="L36" s="830"/>
      <c r="M36" s="830"/>
      <c r="N36" s="831"/>
      <c r="O36" s="838"/>
      <c r="P36" s="839"/>
      <c r="Q36" s="839"/>
      <c r="R36" s="839"/>
      <c r="S36" s="839"/>
      <c r="T36" s="839"/>
      <c r="U36" s="839"/>
      <c r="V36" s="839"/>
      <c r="W36" s="839"/>
      <c r="X36" s="839"/>
      <c r="Y36" s="839"/>
      <c r="Z36" s="840"/>
    </row>
    <row r="37" spans="1:26" x14ac:dyDescent="0.25">
      <c r="A37" s="829"/>
      <c r="B37" s="830"/>
      <c r="C37" s="830"/>
      <c r="D37" s="830"/>
      <c r="E37" s="830"/>
      <c r="F37" s="830"/>
      <c r="G37" s="830"/>
      <c r="H37" s="830"/>
      <c r="I37" s="830"/>
      <c r="J37" s="830"/>
      <c r="K37" s="830"/>
      <c r="L37" s="830"/>
      <c r="M37" s="830"/>
      <c r="N37" s="831"/>
      <c r="O37" s="838"/>
      <c r="P37" s="839"/>
      <c r="Q37" s="839"/>
      <c r="R37" s="839"/>
      <c r="S37" s="839"/>
      <c r="T37" s="839"/>
      <c r="U37" s="839"/>
      <c r="V37" s="839"/>
      <c r="W37" s="839"/>
      <c r="X37" s="839"/>
      <c r="Y37" s="839"/>
      <c r="Z37" s="840"/>
    </row>
    <row r="38" spans="1:26" x14ac:dyDescent="0.25">
      <c r="A38" s="829"/>
      <c r="B38" s="830"/>
      <c r="C38" s="830"/>
      <c r="D38" s="830"/>
      <c r="E38" s="830"/>
      <c r="F38" s="830"/>
      <c r="G38" s="830"/>
      <c r="H38" s="830"/>
      <c r="I38" s="830"/>
      <c r="J38" s="830"/>
      <c r="K38" s="830"/>
      <c r="L38" s="830"/>
      <c r="M38" s="830"/>
      <c r="N38" s="831"/>
      <c r="O38" s="838"/>
      <c r="P38" s="839"/>
      <c r="Q38" s="839"/>
      <c r="R38" s="839"/>
      <c r="S38" s="839"/>
      <c r="T38" s="839"/>
      <c r="U38" s="839"/>
      <c r="V38" s="839"/>
      <c r="W38" s="839"/>
      <c r="X38" s="839"/>
      <c r="Y38" s="839"/>
      <c r="Z38" s="840"/>
    </row>
    <row r="39" spans="1:26" x14ac:dyDescent="0.25">
      <c r="A39" s="829"/>
      <c r="B39" s="830"/>
      <c r="C39" s="830"/>
      <c r="D39" s="830"/>
      <c r="E39" s="830"/>
      <c r="F39" s="830"/>
      <c r="G39" s="830"/>
      <c r="H39" s="830"/>
      <c r="I39" s="830"/>
      <c r="J39" s="830"/>
      <c r="K39" s="830"/>
      <c r="L39" s="830"/>
      <c r="M39" s="830"/>
      <c r="N39" s="831"/>
      <c r="O39" s="838"/>
      <c r="P39" s="839"/>
      <c r="Q39" s="839"/>
      <c r="R39" s="839"/>
      <c r="S39" s="839"/>
      <c r="T39" s="839"/>
      <c r="U39" s="839"/>
      <c r="V39" s="839"/>
      <c r="W39" s="839"/>
      <c r="X39" s="839"/>
      <c r="Y39" s="839"/>
      <c r="Z39" s="840"/>
    </row>
    <row r="40" spans="1:26" x14ac:dyDescent="0.25">
      <c r="A40" s="829"/>
      <c r="B40" s="830"/>
      <c r="C40" s="830"/>
      <c r="D40" s="830"/>
      <c r="E40" s="830"/>
      <c r="F40" s="830"/>
      <c r="G40" s="830"/>
      <c r="H40" s="830"/>
      <c r="I40" s="830"/>
      <c r="J40" s="830"/>
      <c r="K40" s="830"/>
      <c r="L40" s="830"/>
      <c r="M40" s="830"/>
      <c r="N40" s="831"/>
      <c r="O40" s="838"/>
      <c r="P40" s="839"/>
      <c r="Q40" s="839"/>
      <c r="R40" s="839"/>
      <c r="S40" s="839"/>
      <c r="T40" s="839"/>
      <c r="U40" s="839"/>
      <c r="V40" s="839"/>
      <c r="W40" s="839"/>
      <c r="X40" s="839"/>
      <c r="Y40" s="839"/>
      <c r="Z40" s="840"/>
    </row>
    <row r="41" spans="1:26" x14ac:dyDescent="0.25">
      <c r="A41" s="829"/>
      <c r="B41" s="830"/>
      <c r="C41" s="830"/>
      <c r="D41" s="830"/>
      <c r="E41" s="830"/>
      <c r="F41" s="830"/>
      <c r="G41" s="830"/>
      <c r="H41" s="830"/>
      <c r="I41" s="830"/>
      <c r="J41" s="830"/>
      <c r="K41" s="830"/>
      <c r="L41" s="830"/>
      <c r="M41" s="830"/>
      <c r="N41" s="831"/>
      <c r="O41" s="838"/>
      <c r="P41" s="839"/>
      <c r="Q41" s="839"/>
      <c r="R41" s="839"/>
      <c r="S41" s="839"/>
      <c r="T41" s="839"/>
      <c r="U41" s="839"/>
      <c r="V41" s="839"/>
      <c r="W41" s="839"/>
      <c r="X41" s="839"/>
      <c r="Y41" s="839"/>
      <c r="Z41" s="840"/>
    </row>
    <row r="42" spans="1:26" ht="15.75" thickBot="1" x14ac:dyDescent="0.3">
      <c r="A42" s="832"/>
      <c r="B42" s="833"/>
      <c r="C42" s="833"/>
      <c r="D42" s="833"/>
      <c r="E42" s="833"/>
      <c r="F42" s="833"/>
      <c r="G42" s="833"/>
      <c r="H42" s="833"/>
      <c r="I42" s="833"/>
      <c r="J42" s="833"/>
      <c r="K42" s="833"/>
      <c r="L42" s="833"/>
      <c r="M42" s="833"/>
      <c r="N42" s="834"/>
      <c r="O42" s="841"/>
      <c r="P42" s="842"/>
      <c r="Q42" s="842"/>
      <c r="R42" s="842"/>
      <c r="S42" s="842"/>
      <c r="T42" s="842"/>
      <c r="U42" s="842"/>
      <c r="V42" s="842"/>
      <c r="W42" s="842"/>
      <c r="X42" s="842"/>
      <c r="Y42" s="842"/>
      <c r="Z42" s="843"/>
    </row>
  </sheetData>
  <mergeCells count="2">
    <mergeCell ref="A2:N42"/>
    <mergeCell ref="O2:Z4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B147B-136E-4A67-9FCF-ED129FBBE6CF}">
  <sheetPr codeName="Sheet32">
    <pageSetUpPr fitToPage="1"/>
  </sheetPr>
  <dimension ref="A11:AR36"/>
  <sheetViews>
    <sheetView topLeftCell="N1" zoomScale="59" zoomScaleNormal="59" workbookViewId="0">
      <selection activeCell="U23" activeCellId="1" sqref="E23:E25 U23:U25"/>
    </sheetView>
  </sheetViews>
  <sheetFormatPr defaultColWidth="11.42578125" defaultRowHeight="14.25" x14ac:dyDescent="0.2"/>
  <cols>
    <col min="1" max="1" width="37.85546875" style="2" bestFit="1" customWidth="1"/>
    <col min="2" max="2" width="46.42578125" style="2" customWidth="1"/>
    <col min="3" max="3" width="22.28515625" style="2" customWidth="1"/>
    <col min="4" max="4" width="16.5703125" style="2" customWidth="1"/>
    <col min="5" max="5" width="11.85546875" style="8" bestFit="1" customWidth="1"/>
    <col min="6" max="6" width="15.28515625" style="2" customWidth="1"/>
    <col min="7" max="7" width="15.7109375" style="2" customWidth="1"/>
    <col min="8" max="8" width="17.28515625" style="9" customWidth="1"/>
    <col min="9" max="9" width="18.85546875" style="2" customWidth="1"/>
    <col min="10" max="10" width="18.140625" style="2" bestFit="1" customWidth="1"/>
    <col min="11" max="11" width="15.7109375" style="2" customWidth="1"/>
    <col min="12" max="12" width="18.7109375" style="2" customWidth="1"/>
    <col min="13" max="13" width="17" style="2" customWidth="1"/>
    <col min="14" max="14" width="16.42578125" style="2" customWidth="1"/>
    <col min="15" max="15" width="17.28515625" style="2" customWidth="1"/>
    <col min="16" max="16" width="18" style="2" customWidth="1"/>
    <col min="17" max="17" width="19" style="2" customWidth="1"/>
    <col min="18" max="18" width="20.5703125" style="2" customWidth="1"/>
    <col min="19" max="19" width="18.5703125" style="2" customWidth="1"/>
    <col min="20" max="20" width="20.5703125" style="2" customWidth="1"/>
    <col min="21" max="21" width="22.7109375" style="2" bestFit="1" customWidth="1"/>
    <col min="22" max="22" width="41.140625" style="5" customWidth="1"/>
    <col min="23" max="23" width="21.5703125" style="6" customWidth="1"/>
    <col min="24" max="24" width="5" style="6" customWidth="1"/>
    <col min="25" max="25" width="18.28515625" style="6" customWidth="1"/>
    <col min="26" max="26" width="15.140625" style="6" bestFit="1" customWidth="1"/>
    <col min="27" max="27" width="15.5703125" style="6" customWidth="1"/>
    <col min="28" max="44" width="11.42578125" style="6"/>
    <col min="45" max="16384" width="11.42578125" style="2"/>
  </cols>
  <sheetData>
    <row r="11" spans="1:22" ht="19.5" x14ac:dyDescent="0.25">
      <c r="A11" s="858" t="s">
        <v>0</v>
      </c>
      <c r="B11" s="858"/>
      <c r="C11" s="858"/>
      <c r="D11" s="858"/>
      <c r="E11" s="858"/>
      <c r="F11" s="858"/>
      <c r="G11" s="858"/>
      <c r="H11" s="858"/>
      <c r="I11" s="858"/>
      <c r="J11" s="858"/>
      <c r="K11" s="858"/>
      <c r="L11" s="858"/>
      <c r="M11" s="858"/>
      <c r="N11" s="858"/>
      <c r="O11" s="858"/>
      <c r="P11" s="858"/>
      <c r="Q11" s="858"/>
      <c r="R11" s="858"/>
      <c r="S11" s="858"/>
      <c r="T11" s="858"/>
      <c r="U11" s="858"/>
      <c r="V11" s="858"/>
    </row>
    <row r="12" spans="1:22" ht="19.5" x14ac:dyDescent="0.25">
      <c r="A12" s="858" t="s">
        <v>1</v>
      </c>
      <c r="B12" s="858"/>
      <c r="C12" s="858"/>
      <c r="D12" s="858"/>
      <c r="E12" s="858"/>
      <c r="F12" s="858"/>
      <c r="G12" s="858"/>
      <c r="H12" s="858"/>
      <c r="I12" s="858"/>
      <c r="J12" s="858"/>
      <c r="K12" s="858"/>
      <c r="L12" s="858"/>
      <c r="M12" s="858"/>
      <c r="N12" s="858"/>
      <c r="O12" s="858"/>
      <c r="P12" s="858"/>
      <c r="Q12" s="858"/>
      <c r="R12" s="858"/>
      <c r="S12" s="858"/>
      <c r="T12" s="858"/>
      <c r="U12" s="858"/>
      <c r="V12" s="858"/>
    </row>
    <row r="13" spans="1:22" ht="19.5" x14ac:dyDescent="0.25">
      <c r="A13" s="858" t="s">
        <v>42</v>
      </c>
      <c r="B13" s="858"/>
      <c r="C13" s="858"/>
      <c r="D13" s="858"/>
      <c r="E13" s="858"/>
      <c r="F13" s="858"/>
      <c r="G13" s="858"/>
      <c r="H13" s="858"/>
      <c r="I13" s="858"/>
      <c r="J13" s="858"/>
      <c r="K13" s="858"/>
      <c r="L13" s="858"/>
      <c r="M13" s="858"/>
      <c r="N13" s="858"/>
      <c r="O13" s="858"/>
      <c r="P13" s="858"/>
      <c r="Q13" s="858"/>
      <c r="R13" s="858"/>
      <c r="S13" s="858"/>
      <c r="T13" s="858"/>
      <c r="U13" s="858"/>
      <c r="V13" s="858"/>
    </row>
    <row r="14" spans="1:22" x14ac:dyDescent="0.2">
      <c r="A14" s="543"/>
      <c r="B14" s="543"/>
      <c r="C14" s="543"/>
      <c r="D14" s="543"/>
      <c r="E14" s="543"/>
      <c r="F14" s="543"/>
      <c r="G14" s="543"/>
      <c r="H14" s="543"/>
      <c r="I14" s="543"/>
      <c r="J14" s="543"/>
      <c r="K14" s="543"/>
      <c r="L14" s="543"/>
      <c r="M14" s="543"/>
      <c r="N14" s="543"/>
      <c r="O14" s="543"/>
      <c r="P14" s="543"/>
      <c r="Q14" s="543"/>
      <c r="R14" s="543"/>
      <c r="S14" s="543"/>
      <c r="T14" s="543"/>
      <c r="U14" s="543"/>
      <c r="V14" s="543"/>
    </row>
    <row r="15" spans="1:22" x14ac:dyDescent="0.2">
      <c r="A15" s="543"/>
      <c r="B15" s="543"/>
      <c r="C15" s="543"/>
      <c r="D15" s="543"/>
      <c r="E15" s="543"/>
      <c r="F15" s="543"/>
      <c r="G15" s="543"/>
      <c r="H15" s="543"/>
      <c r="I15" s="543"/>
      <c r="J15" s="543"/>
      <c r="K15" s="543"/>
      <c r="L15" s="543"/>
      <c r="M15" s="543"/>
      <c r="N15" s="543"/>
      <c r="O15" s="543"/>
      <c r="P15" s="543"/>
      <c r="Q15" s="543"/>
      <c r="R15" s="543"/>
      <c r="S15" s="543"/>
      <c r="T15" s="543"/>
      <c r="U15" s="543"/>
      <c r="V15" s="543"/>
    </row>
    <row r="16" spans="1:22" x14ac:dyDescent="0.2">
      <c r="A16" s="543"/>
      <c r="B16" s="543"/>
      <c r="C16" s="543"/>
      <c r="D16" s="543"/>
      <c r="E16" s="543"/>
      <c r="F16" s="543"/>
      <c r="G16" s="543"/>
      <c r="H16" s="543"/>
      <c r="I16" s="543"/>
      <c r="J16" s="543"/>
      <c r="K16" s="543"/>
      <c r="L16" s="543"/>
      <c r="M16" s="543"/>
      <c r="N16" s="543"/>
      <c r="O16" s="543"/>
      <c r="P16" s="543"/>
      <c r="Q16" s="543"/>
      <c r="R16" s="543"/>
      <c r="S16" s="543"/>
      <c r="T16" s="543"/>
      <c r="U16" s="543"/>
      <c r="V16" s="543"/>
    </row>
    <row r="17" spans="1:44" s="101" customFormat="1" ht="15" x14ac:dyDescent="0.2">
      <c r="A17" s="473" t="s">
        <v>2</v>
      </c>
      <c r="B17" s="1020" t="s">
        <v>1171</v>
      </c>
      <c r="C17" s="1020"/>
      <c r="D17" s="1020"/>
      <c r="E17" s="1020"/>
      <c r="F17" s="1020"/>
      <c r="G17" s="1020"/>
      <c r="H17" s="1020"/>
      <c r="I17" s="1020"/>
      <c r="J17" s="1020"/>
      <c r="K17" s="1020"/>
      <c r="L17" s="1020"/>
      <c r="M17" s="1020"/>
      <c r="N17" s="1020"/>
      <c r="O17" s="1020"/>
      <c r="P17" s="1020"/>
      <c r="Q17" s="1020"/>
      <c r="R17" s="1020"/>
      <c r="S17" s="1020"/>
      <c r="T17" s="1020"/>
      <c r="U17" s="1020"/>
      <c r="V17" s="1020"/>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row>
    <row r="18" spans="1:44" s="101" customFormat="1" ht="15" x14ac:dyDescent="0.2">
      <c r="A18" s="473" t="s">
        <v>3</v>
      </c>
      <c r="B18" s="1020" t="s">
        <v>1172</v>
      </c>
      <c r="C18" s="1020"/>
      <c r="D18" s="1020"/>
      <c r="E18" s="1020"/>
      <c r="F18" s="1020"/>
      <c r="G18" s="1020"/>
      <c r="H18" s="1020"/>
      <c r="I18" s="1020"/>
      <c r="J18" s="1020"/>
      <c r="K18" s="1020"/>
      <c r="L18" s="1020"/>
      <c r="M18" s="1020"/>
      <c r="N18" s="1020"/>
      <c r="O18" s="1020"/>
      <c r="P18" s="1020"/>
      <c r="Q18" s="1020"/>
      <c r="R18" s="1020"/>
      <c r="S18" s="1020"/>
      <c r="T18" s="1020"/>
      <c r="U18" s="1020"/>
      <c r="V18" s="1020"/>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row>
    <row r="19" spans="1:44" s="101" customFormat="1" ht="15" x14ac:dyDescent="0.2">
      <c r="A19" s="473" t="s">
        <v>5</v>
      </c>
      <c r="B19" s="1020" t="s">
        <v>1181</v>
      </c>
      <c r="C19" s="1020"/>
      <c r="D19" s="1020"/>
      <c r="E19" s="1020"/>
      <c r="F19" s="1020"/>
      <c r="G19" s="1020"/>
      <c r="H19" s="1020"/>
      <c r="I19" s="1020"/>
      <c r="J19" s="1020"/>
      <c r="K19" s="1020"/>
      <c r="L19" s="1020"/>
      <c r="M19" s="1020"/>
      <c r="N19" s="1020"/>
      <c r="O19" s="1020"/>
      <c r="P19" s="1020"/>
      <c r="Q19" s="1020"/>
      <c r="R19" s="1020"/>
      <c r="S19" s="1020"/>
      <c r="T19" s="1020"/>
      <c r="U19" s="1020"/>
      <c r="V19" s="1020"/>
      <c r="W19" s="238"/>
      <c r="X19" s="238"/>
      <c r="Y19" s="238"/>
      <c r="Z19" s="238"/>
      <c r="AA19" s="238"/>
      <c r="AB19" s="238"/>
      <c r="AC19" s="238"/>
      <c r="AD19" s="238"/>
      <c r="AE19" s="238"/>
      <c r="AF19" s="238"/>
      <c r="AG19" s="238"/>
      <c r="AH19" s="238"/>
      <c r="AI19" s="238"/>
      <c r="AJ19" s="238"/>
      <c r="AK19" s="238"/>
      <c r="AL19" s="238"/>
      <c r="AM19" s="238"/>
      <c r="AN19" s="238"/>
      <c r="AO19" s="238"/>
      <c r="AP19" s="238"/>
      <c r="AQ19" s="238"/>
      <c r="AR19" s="238"/>
    </row>
    <row r="21" spans="1:44" ht="14.25" customHeight="1" x14ac:dyDescent="0.2">
      <c r="A21" s="1014" t="s">
        <v>6</v>
      </c>
      <c r="B21" s="1014" t="s">
        <v>10</v>
      </c>
      <c r="C21" s="1014" t="s">
        <v>43</v>
      </c>
      <c r="D21" s="1014" t="s">
        <v>44</v>
      </c>
      <c r="E21" s="1014" t="s">
        <v>45</v>
      </c>
      <c r="F21" s="1014" t="s">
        <v>46</v>
      </c>
      <c r="G21" s="1014" t="s">
        <v>47</v>
      </c>
      <c r="H21" s="1014" t="s">
        <v>231</v>
      </c>
      <c r="I21" s="1017" t="s">
        <v>11</v>
      </c>
      <c r="J21" s="1018"/>
      <c r="K21" s="1019"/>
      <c r="L21" s="1017" t="s">
        <v>12</v>
      </c>
      <c r="M21" s="1018"/>
      <c r="N21" s="1019"/>
      <c r="O21" s="1017" t="s">
        <v>13</v>
      </c>
      <c r="P21" s="1018"/>
      <c r="Q21" s="1019"/>
      <c r="R21" s="1017" t="s">
        <v>14</v>
      </c>
      <c r="S21" s="1018"/>
      <c r="T21" s="1019"/>
      <c r="U21" s="1014" t="s">
        <v>321</v>
      </c>
      <c r="V21" s="1014" t="s">
        <v>232</v>
      </c>
    </row>
    <row r="22" spans="1:44" s="4" customFormat="1" ht="24" customHeight="1" x14ac:dyDescent="0.25">
      <c r="A22" s="1015"/>
      <c r="B22" s="1015"/>
      <c r="C22" s="1015"/>
      <c r="D22" s="1015"/>
      <c r="E22" s="1015"/>
      <c r="F22" s="1015"/>
      <c r="G22" s="1015"/>
      <c r="H22" s="1015"/>
      <c r="I22" s="682" t="s">
        <v>19</v>
      </c>
      <c r="J22" s="682" t="s">
        <v>20</v>
      </c>
      <c r="K22" s="682" t="s">
        <v>21</v>
      </c>
      <c r="L22" s="682" t="s">
        <v>22</v>
      </c>
      <c r="M22" s="682" t="s">
        <v>23</v>
      </c>
      <c r="N22" s="682" t="s">
        <v>24</v>
      </c>
      <c r="O22" s="682" t="s">
        <v>25</v>
      </c>
      <c r="P22" s="682" t="s">
        <v>26</v>
      </c>
      <c r="Q22" s="682" t="s">
        <v>27</v>
      </c>
      <c r="R22" s="682" t="s">
        <v>28</v>
      </c>
      <c r="S22" s="682" t="s">
        <v>29</v>
      </c>
      <c r="T22" s="682" t="s">
        <v>30</v>
      </c>
      <c r="U22" s="1015"/>
      <c r="V22" s="1015"/>
      <c r="W22" s="590"/>
      <c r="X22" s="590"/>
      <c r="Y22" s="590"/>
      <c r="Z22" s="590"/>
      <c r="AA22" s="590"/>
      <c r="AB22" s="590"/>
      <c r="AC22" s="590"/>
      <c r="AD22" s="590"/>
      <c r="AE22" s="590"/>
      <c r="AF22" s="590"/>
      <c r="AG22" s="590"/>
      <c r="AH22" s="590"/>
      <c r="AI22" s="590"/>
      <c r="AJ22" s="590"/>
      <c r="AK22" s="590"/>
      <c r="AL22" s="590"/>
      <c r="AM22" s="590"/>
      <c r="AN22" s="590"/>
      <c r="AO22" s="590"/>
      <c r="AP22" s="590"/>
      <c r="AQ22" s="590"/>
      <c r="AR22" s="590"/>
    </row>
    <row r="23" spans="1:44" s="592" customFormat="1" ht="114" x14ac:dyDescent="0.2">
      <c r="A23" s="683" t="str">
        <f>'POA Juridico'!A29</f>
        <v>60. Convenios interinstitucionales legalizados y formalizados conforme a la ley y normas vigentes.</v>
      </c>
      <c r="B23" s="442" t="str">
        <f>'POA Juridico'!F29</f>
        <v>60.1 Elaborar convenios interinstitucionales requeridos por los canales establecidos y gestionar la formalización de dichos contratos.</v>
      </c>
      <c r="C23" s="684" t="s">
        <v>50</v>
      </c>
      <c r="D23" s="684" t="s">
        <v>1182</v>
      </c>
      <c r="E23" s="685" t="s">
        <v>55</v>
      </c>
      <c r="F23" s="685" t="s">
        <v>18</v>
      </c>
      <c r="G23" s="685">
        <v>10</v>
      </c>
      <c r="H23" s="686">
        <v>2000</v>
      </c>
      <c r="I23" s="687"/>
      <c r="J23" s="687"/>
      <c r="K23" s="687"/>
      <c r="L23" s="687"/>
      <c r="M23" s="687"/>
      <c r="N23" s="686"/>
      <c r="O23" s="686"/>
      <c r="P23" s="686"/>
      <c r="Q23" s="687"/>
      <c r="R23" s="686"/>
      <c r="S23" s="686"/>
      <c r="T23" s="686">
        <f>(G23*H23)</f>
        <v>20000</v>
      </c>
      <c r="U23" s="686">
        <f>SUM(I23:T23)</f>
        <v>20000</v>
      </c>
      <c r="V23" s="707" t="s">
        <v>1183</v>
      </c>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row>
    <row r="24" spans="1:44" s="5" customFormat="1" ht="114" x14ac:dyDescent="0.2">
      <c r="A24" s="683" t="str">
        <f>'POA Juridico'!A30</f>
        <v>61. Contratos de compras y contrataciones públicas legalizados y formalizados conforme a la ley y normas vigentes.</v>
      </c>
      <c r="B24" s="442" t="str">
        <f>'POA Juridico'!F30</f>
        <v>61.1 Elaborar contratos de compras y contrataciones públicas requeridos por los canales establecidos y gestionar la formalización de dichos contratos.</v>
      </c>
      <c r="C24" s="688" t="s">
        <v>50</v>
      </c>
      <c r="D24" s="688" t="s">
        <v>1182</v>
      </c>
      <c r="E24" s="713" t="s">
        <v>55</v>
      </c>
      <c r="F24" s="689" t="s">
        <v>18</v>
      </c>
      <c r="G24" s="688">
        <v>30</v>
      </c>
      <c r="H24" s="690">
        <v>2000</v>
      </c>
      <c r="I24" s="691"/>
      <c r="J24" s="691"/>
      <c r="K24" s="691"/>
      <c r="L24" s="691"/>
      <c r="M24" s="691"/>
      <c r="N24" s="690"/>
      <c r="O24" s="691"/>
      <c r="P24" s="691"/>
      <c r="Q24" s="691"/>
      <c r="R24" s="691"/>
      <c r="S24" s="691"/>
      <c r="T24" s="690">
        <f t="shared" ref="T24" si="0">(G24*H24)</f>
        <v>60000</v>
      </c>
      <c r="U24" s="686">
        <f t="shared" ref="U24:U25" si="1">SUM(I24:T24)</f>
        <v>60000</v>
      </c>
      <c r="V24" s="708" t="s">
        <v>1183</v>
      </c>
      <c r="W24" s="593"/>
      <c r="X24" s="593"/>
      <c r="Y24" s="593"/>
      <c r="Z24" s="593"/>
      <c r="AA24" s="593"/>
      <c r="AB24" s="593"/>
      <c r="AC24" s="593"/>
      <c r="AD24" s="593"/>
      <c r="AE24" s="593"/>
      <c r="AF24" s="593"/>
      <c r="AG24" s="593"/>
      <c r="AH24" s="593"/>
      <c r="AI24" s="593"/>
      <c r="AJ24" s="593"/>
      <c r="AK24" s="593"/>
      <c r="AL24" s="593"/>
      <c r="AM24" s="593"/>
      <c r="AN24" s="593"/>
      <c r="AO24" s="593"/>
      <c r="AP24" s="593"/>
      <c r="AQ24" s="593"/>
      <c r="AR24" s="593"/>
    </row>
    <row r="25" spans="1:44" s="5" customFormat="1" ht="114" x14ac:dyDescent="0.2">
      <c r="A25" s="683" t="str">
        <f>'POA Juridico'!A31</f>
        <v>62. Contratos y acuerdos laborales formalizados conforme a la ley y normas vigentes.</v>
      </c>
      <c r="B25" s="442" t="str">
        <f>'POA Juridico'!F31</f>
        <v>62.1 Elaborar contratos y acuerdos laborales requeridos por los canales establecidos y gestionar la formalización de dichos contratos.</v>
      </c>
      <c r="C25" s="684" t="s">
        <v>50</v>
      </c>
      <c r="D25" s="684" t="s">
        <v>1182</v>
      </c>
      <c r="E25" s="684" t="s">
        <v>55</v>
      </c>
      <c r="F25" s="685" t="s">
        <v>18</v>
      </c>
      <c r="G25" s="684">
        <v>60</v>
      </c>
      <c r="H25" s="686">
        <v>2000</v>
      </c>
      <c r="I25" s="687"/>
      <c r="J25" s="687"/>
      <c r="K25" s="687"/>
      <c r="L25" s="687"/>
      <c r="M25" s="687"/>
      <c r="N25" s="686"/>
      <c r="O25" s="687"/>
      <c r="P25" s="687"/>
      <c r="Q25" s="687"/>
      <c r="R25" s="687"/>
      <c r="S25" s="687"/>
      <c r="T25" s="686">
        <f>(G25*H25)</f>
        <v>120000</v>
      </c>
      <c r="U25" s="686">
        <f t="shared" si="1"/>
        <v>120000</v>
      </c>
      <c r="V25" s="707" t="s">
        <v>1183</v>
      </c>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row>
    <row r="26" spans="1:44" x14ac:dyDescent="0.2">
      <c r="A26" s="1016" t="s">
        <v>281</v>
      </c>
      <c r="B26" s="1016"/>
      <c r="C26" s="1016"/>
      <c r="D26" s="1016"/>
      <c r="E26" s="1016"/>
      <c r="F26" s="1016"/>
      <c r="G26" s="1016"/>
      <c r="H26" s="692"/>
      <c r="I26" s="692">
        <f t="shared" ref="I26:S26" si="2">+SUM(I2:I25)</f>
        <v>0</v>
      </c>
      <c r="J26" s="692">
        <f t="shared" si="2"/>
        <v>0</v>
      </c>
      <c r="K26" s="692">
        <f t="shared" si="2"/>
        <v>0</v>
      </c>
      <c r="L26" s="692">
        <f t="shared" si="2"/>
        <v>0</v>
      </c>
      <c r="M26" s="692">
        <f t="shared" si="2"/>
        <v>0</v>
      </c>
      <c r="N26" s="692">
        <f t="shared" si="2"/>
        <v>0</v>
      </c>
      <c r="O26" s="692">
        <f t="shared" si="2"/>
        <v>0</v>
      </c>
      <c r="P26" s="692">
        <f t="shared" si="2"/>
        <v>0</v>
      </c>
      <c r="Q26" s="692">
        <f t="shared" si="2"/>
        <v>0</v>
      </c>
      <c r="R26" s="692">
        <f t="shared" si="2"/>
        <v>0</v>
      </c>
      <c r="S26" s="692">
        <f t="shared" si="2"/>
        <v>0</v>
      </c>
      <c r="T26" s="692">
        <f>SUM(T23:T25)</f>
        <v>200000</v>
      </c>
      <c r="U26" s="692">
        <f>+SUM(U2:U25)</f>
        <v>200000</v>
      </c>
      <c r="V26" s="693"/>
      <c r="W26" s="7"/>
    </row>
    <row r="27" spans="1:44" x14ac:dyDescent="0.2">
      <c r="W27" s="7"/>
    </row>
    <row r="29" spans="1:44" x14ac:dyDescent="0.2">
      <c r="W29" s="7"/>
      <c r="Y29" s="7"/>
      <c r="Z29" s="7"/>
      <c r="AA29" s="7"/>
    </row>
    <row r="30" spans="1:44" x14ac:dyDescent="0.2">
      <c r="Y30" s="7"/>
      <c r="Z30" s="7"/>
    </row>
    <row r="33" spans="3:25" x14ac:dyDescent="0.2">
      <c r="Y33" s="7"/>
    </row>
    <row r="34" spans="3:25" ht="15" x14ac:dyDescent="0.2">
      <c r="C34" s="854" t="s">
        <v>1234</v>
      </c>
      <c r="D34" s="854"/>
      <c r="E34" s="854"/>
      <c r="F34" s="101"/>
      <c r="G34" s="101"/>
      <c r="H34" s="1010" t="s">
        <v>536</v>
      </c>
      <c r="I34" s="1010"/>
      <c r="J34" s="1010"/>
      <c r="L34" s="151"/>
      <c r="M34" s="854" t="s">
        <v>537</v>
      </c>
      <c r="N34" s="854"/>
      <c r="O34" s="854"/>
    </row>
    <row r="35" spans="3:25" ht="15" x14ac:dyDescent="0.2">
      <c r="C35" s="851" t="s">
        <v>1235</v>
      </c>
      <c r="D35" s="851"/>
      <c r="E35" s="851"/>
      <c r="F35" s="101"/>
      <c r="G35" s="101"/>
      <c r="H35" s="851" t="s">
        <v>546</v>
      </c>
      <c r="I35" s="851"/>
      <c r="J35" s="851"/>
      <c r="L35" s="101"/>
      <c r="M35" s="851" t="s">
        <v>538</v>
      </c>
      <c r="N35" s="851"/>
      <c r="O35" s="851"/>
    </row>
    <row r="36" spans="3:25" ht="15" x14ac:dyDescent="0.2">
      <c r="D36" s="5"/>
      <c r="E36" s="2"/>
      <c r="H36" s="2"/>
      <c r="I36" s="103"/>
      <c r="J36" s="103"/>
    </row>
  </sheetData>
  <mergeCells count="27">
    <mergeCell ref="B19:V19"/>
    <mergeCell ref="A11:V11"/>
    <mergeCell ref="A12:V12"/>
    <mergeCell ref="A13:V13"/>
    <mergeCell ref="B17:V17"/>
    <mergeCell ref="B18:V18"/>
    <mergeCell ref="U21:U22"/>
    <mergeCell ref="V21:V22"/>
    <mergeCell ref="A26:G26"/>
    <mergeCell ref="G21:G22"/>
    <mergeCell ref="H21:H22"/>
    <mergeCell ref="I21:K21"/>
    <mergeCell ref="L21:N21"/>
    <mergeCell ref="O21:Q21"/>
    <mergeCell ref="R21:T21"/>
    <mergeCell ref="A21:A22"/>
    <mergeCell ref="B21:B22"/>
    <mergeCell ref="C21:C22"/>
    <mergeCell ref="D21:D22"/>
    <mergeCell ref="E21:E22"/>
    <mergeCell ref="F21:F22"/>
    <mergeCell ref="C34:E34"/>
    <mergeCell ref="H34:J34"/>
    <mergeCell ref="M34:O34"/>
    <mergeCell ref="C35:E35"/>
    <mergeCell ref="H35:J35"/>
    <mergeCell ref="M35:O35"/>
  </mergeCells>
  <pageMargins left="0.23622047244094491" right="0.23622047244094491" top="0.39370078740157483" bottom="0.39370078740157483" header="0.31496062992125984" footer="0.31496062992125984"/>
  <pageSetup paperSize="5" scale="23" fitToHeight="0" orientation="landscape" r:id="rId1"/>
  <headerFooter>
    <oddFooter>&amp;CPágina &amp;P de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7B17D-0EDE-4E6F-B6BC-A5655F070E7E}">
  <sheetPr codeName="Sheet21">
    <pageSetUpPr fitToPage="1"/>
  </sheetPr>
  <dimension ref="A3:U53"/>
  <sheetViews>
    <sheetView workbookViewId="0"/>
  </sheetViews>
  <sheetFormatPr defaultColWidth="11.42578125" defaultRowHeight="15" x14ac:dyDescent="0.25"/>
  <cols>
    <col min="1" max="1" width="68.28515625" customWidth="1"/>
    <col min="2" max="2" width="39.7109375" customWidth="1"/>
    <col min="3" max="3" width="45.42578125" customWidth="1"/>
    <col min="4" max="4" width="17.42578125" bestFit="1" customWidth="1"/>
    <col min="5" max="5" width="18.7109375" style="15" customWidth="1"/>
    <col min="6" max="6" width="115.5703125" bestFit="1" customWidth="1"/>
    <col min="7" max="7" width="11" bestFit="1" customWidth="1"/>
    <col min="8" max="8" width="15.28515625" customWidth="1"/>
    <col min="13" max="13" width="11.85546875" bestFit="1" customWidth="1"/>
    <col min="14" max="17" width="20" customWidth="1"/>
    <col min="18" max="18" width="18.42578125" customWidth="1"/>
    <col min="19" max="19" width="25" customWidth="1"/>
    <col min="20" max="20" width="39.42578125" customWidth="1"/>
    <col min="21" max="21" width="24" customWidth="1"/>
    <col min="22" max="25" width="16.7109375" customWidth="1"/>
    <col min="26" max="144" width="11.42578125" customWidth="1"/>
    <col min="145" max="145" width="6.42578125" customWidth="1"/>
    <col min="146" max="146" width="6.85546875" customWidth="1"/>
  </cols>
  <sheetData>
    <row r="3" spans="1:21" x14ac:dyDescent="0.25">
      <c r="O3" s="16"/>
    </row>
    <row r="4" spans="1:21" x14ac:dyDescent="0.25">
      <c r="O4" s="16"/>
    </row>
    <row r="5" spans="1:21" x14ac:dyDescent="0.25">
      <c r="O5" s="16"/>
    </row>
    <row r="6" spans="1:21" x14ac:dyDescent="0.25">
      <c r="O6" s="16"/>
    </row>
    <row r="7" spans="1:21" x14ac:dyDescent="0.25">
      <c r="O7" s="16"/>
    </row>
    <row r="8" spans="1:21" ht="13.5" customHeight="1" x14ac:dyDescent="0.25">
      <c r="O8" s="16"/>
    </row>
    <row r="9" spans="1:21" ht="28.5" customHeight="1" x14ac:dyDescent="0.35">
      <c r="A9" s="849"/>
      <c r="B9" s="849"/>
      <c r="C9" s="849"/>
      <c r="D9" s="849"/>
      <c r="E9" s="849"/>
      <c r="F9" s="849"/>
      <c r="G9" s="849"/>
      <c r="H9" s="849"/>
      <c r="I9" s="849"/>
      <c r="J9" s="849"/>
      <c r="K9" s="849"/>
      <c r="L9" s="849"/>
      <c r="M9" s="849"/>
      <c r="N9" s="849"/>
      <c r="O9" s="849"/>
      <c r="P9" s="849"/>
      <c r="Q9" s="849"/>
      <c r="R9" s="849"/>
      <c r="S9" s="849"/>
      <c r="T9" s="849"/>
    </row>
    <row r="10" spans="1:21" ht="28.5" customHeight="1" x14ac:dyDescent="0.35">
      <c r="A10" s="17"/>
      <c r="B10" s="17"/>
      <c r="C10" s="17"/>
      <c r="D10" s="17"/>
      <c r="E10" s="17"/>
      <c r="F10" s="17"/>
      <c r="G10" s="17"/>
      <c r="H10" s="17"/>
      <c r="I10" s="17"/>
      <c r="J10" s="17"/>
      <c r="K10" s="17"/>
      <c r="L10" s="17"/>
      <c r="M10" s="17"/>
      <c r="N10" s="17"/>
      <c r="O10" s="17"/>
      <c r="P10" s="17"/>
      <c r="Q10" s="17"/>
      <c r="R10" s="17"/>
      <c r="S10" s="17"/>
      <c r="T10" s="17"/>
    </row>
    <row r="11" spans="1:21" ht="28.5" customHeight="1" x14ac:dyDescent="0.35">
      <c r="A11" s="17"/>
      <c r="B11" s="17"/>
      <c r="C11" s="17"/>
      <c r="D11" s="17"/>
      <c r="E11" s="17"/>
      <c r="F11" s="17"/>
      <c r="G11" s="17"/>
      <c r="H11" s="17"/>
      <c r="I11" s="17"/>
      <c r="J11" s="17"/>
      <c r="K11" s="17"/>
      <c r="L11" s="17"/>
      <c r="M11" s="17"/>
      <c r="N11" s="17"/>
      <c r="O11" s="17"/>
      <c r="P11" s="17"/>
      <c r="Q11" s="17"/>
      <c r="R11" s="17"/>
      <c r="S11" s="17"/>
      <c r="T11" s="17"/>
    </row>
    <row r="12" spans="1:21" ht="19.5" x14ac:dyDescent="0.25">
      <c r="A12" s="858" t="s">
        <v>0</v>
      </c>
      <c r="B12" s="858"/>
      <c r="C12" s="858"/>
      <c r="D12" s="858"/>
      <c r="E12" s="858"/>
      <c r="F12" s="858"/>
      <c r="G12" s="858"/>
      <c r="H12" s="858"/>
      <c r="I12" s="858"/>
      <c r="J12" s="858"/>
      <c r="K12" s="858"/>
      <c r="L12" s="858"/>
      <c r="M12" s="858"/>
      <c r="N12" s="858"/>
      <c r="O12" s="858"/>
      <c r="P12" s="858"/>
      <c r="Q12" s="858"/>
      <c r="R12" s="858"/>
      <c r="S12" s="858"/>
      <c r="T12" s="858"/>
      <c r="U12" s="858"/>
    </row>
    <row r="13" spans="1:21" ht="19.5" x14ac:dyDescent="0.25">
      <c r="A13" s="858" t="s">
        <v>1</v>
      </c>
      <c r="B13" s="858"/>
      <c r="C13" s="858"/>
      <c r="D13" s="858"/>
      <c r="E13" s="858"/>
      <c r="F13" s="858"/>
      <c r="G13" s="858"/>
      <c r="H13" s="858"/>
      <c r="I13" s="858"/>
      <c r="J13" s="858"/>
      <c r="K13" s="858"/>
      <c r="L13" s="858"/>
      <c r="M13" s="858"/>
      <c r="N13" s="858"/>
      <c r="O13" s="858"/>
      <c r="P13" s="858"/>
      <c r="Q13" s="858"/>
      <c r="R13" s="858"/>
      <c r="S13" s="858"/>
      <c r="T13" s="858"/>
      <c r="U13" s="858"/>
    </row>
    <row r="14" spans="1:21" ht="21" x14ac:dyDescent="0.35">
      <c r="A14" s="17"/>
      <c r="B14" s="17"/>
      <c r="C14" s="17"/>
      <c r="D14" s="17"/>
      <c r="E14" s="17"/>
      <c r="F14" s="17"/>
      <c r="G14" s="17"/>
      <c r="H14" s="17"/>
      <c r="I14" s="17"/>
      <c r="J14" s="17"/>
      <c r="K14" s="17"/>
      <c r="L14" s="17"/>
      <c r="M14" s="17"/>
      <c r="N14" s="17"/>
      <c r="O14" s="17"/>
      <c r="P14" s="17"/>
      <c r="Q14" s="17"/>
      <c r="R14" s="17"/>
      <c r="S14" s="17"/>
      <c r="T14" s="17"/>
    </row>
    <row r="15" spans="1:21" ht="18" x14ac:dyDescent="0.25">
      <c r="A15" s="532" t="s">
        <v>1071</v>
      </c>
      <c r="B15" s="1047" t="s">
        <v>283</v>
      </c>
      <c r="C15" s="1047"/>
      <c r="D15" s="1047"/>
      <c r="E15" s="1047"/>
      <c r="F15" s="1047"/>
      <c r="G15" s="1047"/>
      <c r="H15" s="1047"/>
      <c r="I15" s="1047"/>
      <c r="J15" s="1047"/>
      <c r="K15" s="1047"/>
      <c r="L15" s="1047"/>
      <c r="M15" s="1047"/>
      <c r="N15" s="1047"/>
      <c r="O15" s="1047"/>
      <c r="P15" s="1047"/>
      <c r="Q15" s="1047"/>
      <c r="R15" s="1047"/>
      <c r="S15" s="1047"/>
      <c r="T15" s="1047"/>
      <c r="U15" s="1047"/>
    </row>
    <row r="16" spans="1:21" ht="18" x14ac:dyDescent="0.25">
      <c r="A16" s="532" t="s">
        <v>186</v>
      </c>
      <c r="B16" s="1047" t="s">
        <v>187</v>
      </c>
      <c r="C16" s="1047"/>
      <c r="D16" s="1047"/>
      <c r="E16" s="1047"/>
      <c r="F16" s="1047"/>
      <c r="G16" s="1047"/>
      <c r="H16" s="1047"/>
      <c r="I16" s="1047"/>
      <c r="J16" s="1047"/>
      <c r="K16" s="1047"/>
      <c r="L16" s="1047"/>
      <c r="M16" s="1047"/>
      <c r="N16" s="1047"/>
      <c r="O16" s="1047"/>
      <c r="P16" s="1047"/>
      <c r="Q16" s="1047"/>
      <c r="R16" s="1047"/>
      <c r="S16" s="1047"/>
      <c r="T16" s="1047"/>
      <c r="U16" s="1047"/>
    </row>
    <row r="17" spans="1:21" ht="18" x14ac:dyDescent="0.25">
      <c r="A17" s="532" t="s">
        <v>188</v>
      </c>
      <c r="B17" s="1047" t="s">
        <v>189</v>
      </c>
      <c r="C17" s="1047"/>
      <c r="D17" s="1047"/>
      <c r="E17" s="1047"/>
      <c r="F17" s="1047"/>
      <c r="G17" s="1047"/>
      <c r="H17" s="1047"/>
      <c r="I17" s="1047"/>
      <c r="J17" s="1047"/>
      <c r="K17" s="1047"/>
      <c r="L17" s="1047"/>
      <c r="M17" s="1047"/>
      <c r="N17" s="1047"/>
      <c r="O17" s="1047"/>
      <c r="P17" s="1047"/>
      <c r="Q17" s="1047"/>
      <c r="R17" s="1047"/>
      <c r="S17" s="1047"/>
      <c r="T17" s="1047"/>
      <c r="U17" s="1047"/>
    </row>
    <row r="18" spans="1:21" ht="18.75" x14ac:dyDescent="0.3">
      <c r="A18" s="529"/>
      <c r="B18" s="529"/>
      <c r="C18" s="529"/>
      <c r="D18" s="529"/>
      <c r="E18" s="531"/>
      <c r="F18" s="529"/>
      <c r="G18" s="529"/>
      <c r="H18" s="529"/>
      <c r="I18" s="529"/>
      <c r="J18" s="529"/>
      <c r="K18" s="529"/>
      <c r="L18" s="529"/>
      <c r="M18" s="529"/>
      <c r="N18" s="529"/>
      <c r="O18" s="529"/>
      <c r="P18" s="529"/>
      <c r="Q18" s="529"/>
      <c r="R18" s="529"/>
      <c r="S18" s="529"/>
      <c r="T18" s="529"/>
      <c r="U18" s="526"/>
    </row>
    <row r="19" spans="1:21" ht="17.25" customHeight="1" x14ac:dyDescent="0.25">
      <c r="A19" s="1029" t="s">
        <v>6</v>
      </c>
      <c r="B19" s="1029" t="s">
        <v>7</v>
      </c>
      <c r="C19" s="1029" t="s">
        <v>8</v>
      </c>
      <c r="D19" s="1046" t="s">
        <v>190</v>
      </c>
      <c r="E19" s="1046"/>
      <c r="F19" s="1029" t="s">
        <v>10</v>
      </c>
      <c r="G19" s="1028" t="s">
        <v>11</v>
      </c>
      <c r="H19" s="1028"/>
      <c r="I19" s="1028"/>
      <c r="J19" s="1028" t="s">
        <v>12</v>
      </c>
      <c r="K19" s="1028"/>
      <c r="L19" s="1028"/>
      <c r="M19" s="1028" t="s">
        <v>13</v>
      </c>
      <c r="N19" s="1028"/>
      <c r="O19" s="1028"/>
      <c r="P19" s="1028" t="s">
        <v>14</v>
      </c>
      <c r="Q19" s="1028"/>
      <c r="R19" s="1028"/>
      <c r="S19" s="1029" t="s">
        <v>15</v>
      </c>
      <c r="T19" s="1029" t="s">
        <v>16</v>
      </c>
      <c r="U19" s="1029" t="s">
        <v>284</v>
      </c>
    </row>
    <row r="20" spans="1:21" s="18" customFormat="1" ht="40.5" customHeight="1" x14ac:dyDescent="0.25">
      <c r="A20" s="1029"/>
      <c r="B20" s="1029"/>
      <c r="C20" s="1029"/>
      <c r="D20" s="488" t="s">
        <v>17</v>
      </c>
      <c r="E20" s="488" t="s">
        <v>18</v>
      </c>
      <c r="F20" s="1029"/>
      <c r="G20" s="488" t="s">
        <v>19</v>
      </c>
      <c r="H20" s="488" t="s">
        <v>20</v>
      </c>
      <c r="I20" s="488" t="s">
        <v>21</v>
      </c>
      <c r="J20" s="488" t="s">
        <v>22</v>
      </c>
      <c r="K20" s="488" t="s">
        <v>23</v>
      </c>
      <c r="L20" s="488" t="s">
        <v>24</v>
      </c>
      <c r="M20" s="488" t="s">
        <v>25</v>
      </c>
      <c r="N20" s="488" t="s">
        <v>26</v>
      </c>
      <c r="O20" s="488" t="s">
        <v>27</v>
      </c>
      <c r="P20" s="488" t="s">
        <v>28</v>
      </c>
      <c r="Q20" s="488" t="s">
        <v>29</v>
      </c>
      <c r="R20" s="488" t="s">
        <v>30</v>
      </c>
      <c r="S20" s="1029"/>
      <c r="T20" s="1029"/>
      <c r="U20" s="1029"/>
    </row>
    <row r="21" spans="1:21" ht="168" customHeight="1" x14ac:dyDescent="0.25">
      <c r="A21" s="1030" t="s">
        <v>1236</v>
      </c>
      <c r="B21" s="1033" t="s">
        <v>285</v>
      </c>
      <c r="C21" s="1036" t="s">
        <v>286</v>
      </c>
      <c r="D21" s="1036" t="s">
        <v>47</v>
      </c>
      <c r="E21" s="491">
        <v>1</v>
      </c>
      <c r="F21" s="492" t="s">
        <v>1238</v>
      </c>
      <c r="G21" s="493"/>
      <c r="H21" s="493"/>
      <c r="I21" s="493"/>
      <c r="J21" s="493"/>
      <c r="K21" s="493"/>
      <c r="L21" s="493"/>
      <c r="M21" s="493">
        <v>1</v>
      </c>
      <c r="N21" s="493"/>
      <c r="O21" s="493"/>
      <c r="P21" s="493"/>
      <c r="Q21" s="493"/>
      <c r="R21" s="493"/>
      <c r="S21" s="1043">
        <f>+'Presupuesto Planificación y D'!O20+'Presupuesto Planificación y D'!O21+'Presupuesto Planificación y D'!O22+'Presupuesto Planificación y D'!O23+'Presupuesto Planificación y D'!S24+'Presupuesto Planificación y D'!S25+'Presupuesto Planificación y D'!S26+'Presupuesto Planificación y D'!S27</f>
        <v>194675.46666666667</v>
      </c>
      <c r="T21" s="495" t="s">
        <v>654</v>
      </c>
      <c r="U21" s="495"/>
    </row>
    <row r="22" spans="1:21" ht="66" customHeight="1" x14ac:dyDescent="0.25">
      <c r="A22" s="1031"/>
      <c r="B22" s="1034"/>
      <c r="C22" s="1037"/>
      <c r="D22" s="1037"/>
      <c r="E22" s="491">
        <v>1</v>
      </c>
      <c r="F22" s="492" t="s">
        <v>1237</v>
      </c>
      <c r="G22" s="493"/>
      <c r="H22" s="493"/>
      <c r="I22" s="493"/>
      <c r="J22" s="493"/>
      <c r="K22" s="493"/>
      <c r="L22" s="493"/>
      <c r="M22" s="493"/>
      <c r="N22" s="493"/>
      <c r="O22" s="493"/>
      <c r="P22" s="493"/>
      <c r="Q22" s="493">
        <v>1</v>
      </c>
      <c r="R22" s="493"/>
      <c r="S22" s="1044"/>
      <c r="T22" s="495" t="s">
        <v>654</v>
      </c>
      <c r="U22" s="495"/>
    </row>
    <row r="23" spans="1:21" ht="80.25" customHeight="1" x14ac:dyDescent="0.25">
      <c r="A23" s="1031"/>
      <c r="B23" s="1034"/>
      <c r="C23" s="1037"/>
      <c r="D23" s="1037"/>
      <c r="E23" s="491">
        <v>1</v>
      </c>
      <c r="F23" s="492" t="s">
        <v>1239</v>
      </c>
      <c r="G23" s="493"/>
      <c r="H23" s="493"/>
      <c r="I23" s="493"/>
      <c r="J23" s="493"/>
      <c r="K23" s="493"/>
      <c r="L23" s="493"/>
      <c r="M23" s="493"/>
      <c r="N23" s="493"/>
      <c r="O23" s="493"/>
      <c r="P23" s="493"/>
      <c r="Q23" s="493"/>
      <c r="R23" s="493">
        <v>1</v>
      </c>
      <c r="S23" s="1044"/>
      <c r="T23" s="495" t="s">
        <v>654</v>
      </c>
      <c r="U23" s="495"/>
    </row>
    <row r="24" spans="1:21" ht="75" customHeight="1" x14ac:dyDescent="0.25">
      <c r="A24" s="1032"/>
      <c r="B24" s="1035"/>
      <c r="C24" s="1038"/>
      <c r="D24" s="1038"/>
      <c r="E24" s="491">
        <v>1</v>
      </c>
      <c r="F24" s="492" t="s">
        <v>1240</v>
      </c>
      <c r="G24" s="493"/>
      <c r="H24" s="493"/>
      <c r="I24" s="493"/>
      <c r="J24" s="493"/>
      <c r="K24" s="493"/>
      <c r="L24" s="493"/>
      <c r="M24" s="493"/>
      <c r="N24" s="493"/>
      <c r="O24" s="493"/>
      <c r="P24" s="493"/>
      <c r="Q24" s="493"/>
      <c r="R24" s="493">
        <v>1</v>
      </c>
      <c r="S24" s="1045"/>
      <c r="T24" s="495" t="s">
        <v>654</v>
      </c>
      <c r="U24" s="495"/>
    </row>
    <row r="25" spans="1:21" ht="153" customHeight="1" x14ac:dyDescent="0.25">
      <c r="A25" s="497" t="s">
        <v>1241</v>
      </c>
      <c r="B25" s="498" t="s">
        <v>287</v>
      </c>
      <c r="C25" s="497" t="s">
        <v>288</v>
      </c>
      <c r="D25" s="499" t="s">
        <v>47</v>
      </c>
      <c r="E25" s="500">
        <v>2</v>
      </c>
      <c r="F25" s="497" t="s">
        <v>1242</v>
      </c>
      <c r="G25" s="501"/>
      <c r="H25" s="501"/>
      <c r="I25" s="501"/>
      <c r="J25" s="501"/>
      <c r="K25" s="501"/>
      <c r="L25" s="501"/>
      <c r="M25" s="501">
        <v>1</v>
      </c>
      <c r="N25" s="501"/>
      <c r="O25" s="501"/>
      <c r="P25" s="501"/>
      <c r="Q25" s="501"/>
      <c r="R25" s="501">
        <v>1</v>
      </c>
      <c r="S25" s="502"/>
      <c r="T25" s="503" t="s">
        <v>654</v>
      </c>
      <c r="U25" s="504"/>
    </row>
    <row r="26" spans="1:21" ht="159.75" customHeight="1" x14ac:dyDescent="0.25">
      <c r="A26" s="489" t="s">
        <v>1243</v>
      </c>
      <c r="B26" s="505" t="s">
        <v>289</v>
      </c>
      <c r="C26" s="489" t="s">
        <v>290</v>
      </c>
      <c r="D26" s="490" t="s">
        <v>47</v>
      </c>
      <c r="E26" s="490">
        <v>12</v>
      </c>
      <c r="F26" s="489" t="s">
        <v>1244</v>
      </c>
      <c r="G26" s="493">
        <v>1</v>
      </c>
      <c r="H26" s="493">
        <v>1</v>
      </c>
      <c r="I26" s="493">
        <v>1</v>
      </c>
      <c r="J26" s="493">
        <v>1</v>
      </c>
      <c r="K26" s="493">
        <v>1</v>
      </c>
      <c r="L26" s="493">
        <v>1</v>
      </c>
      <c r="M26" s="493">
        <v>1</v>
      </c>
      <c r="N26" s="493">
        <v>1</v>
      </c>
      <c r="O26" s="493">
        <v>1</v>
      </c>
      <c r="P26" s="493">
        <v>1</v>
      </c>
      <c r="Q26" s="493">
        <v>1</v>
      </c>
      <c r="R26" s="493">
        <v>1</v>
      </c>
      <c r="S26" s="494"/>
      <c r="T26" s="506" t="s">
        <v>654</v>
      </c>
      <c r="U26" s="506"/>
    </row>
    <row r="27" spans="1:21" s="19" customFormat="1" ht="228.75" customHeight="1" x14ac:dyDescent="0.25">
      <c r="A27" s="497" t="s">
        <v>1245</v>
      </c>
      <c r="B27" s="497" t="s">
        <v>930</v>
      </c>
      <c r="C27" s="497" t="s">
        <v>312</v>
      </c>
      <c r="D27" s="499" t="s">
        <v>47</v>
      </c>
      <c r="E27" s="500">
        <v>1</v>
      </c>
      <c r="F27" s="497" t="s">
        <v>1246</v>
      </c>
      <c r="G27" s="507"/>
      <c r="H27" s="507"/>
      <c r="I27" s="507"/>
      <c r="J27" s="508"/>
      <c r="K27" s="508"/>
      <c r="L27" s="508"/>
      <c r="M27" s="508">
        <v>1</v>
      </c>
      <c r="N27" s="508"/>
      <c r="O27" s="508"/>
      <c r="P27" s="508"/>
      <c r="Q27" s="508"/>
      <c r="R27" s="508"/>
      <c r="S27" s="502"/>
      <c r="T27" s="504" t="s">
        <v>654</v>
      </c>
      <c r="U27" s="504"/>
    </row>
    <row r="28" spans="1:21" s="19" customFormat="1" ht="234" customHeight="1" x14ac:dyDescent="0.25">
      <c r="A28" s="492" t="s">
        <v>1247</v>
      </c>
      <c r="B28" s="492" t="s">
        <v>292</v>
      </c>
      <c r="C28" s="492" t="s">
        <v>293</v>
      </c>
      <c r="D28" s="491" t="s">
        <v>47</v>
      </c>
      <c r="E28" s="491">
        <v>1</v>
      </c>
      <c r="F28" s="492" t="s">
        <v>1248</v>
      </c>
      <c r="G28" s="509"/>
      <c r="H28" s="509"/>
      <c r="I28" s="509"/>
      <c r="J28" s="510"/>
      <c r="K28" s="510"/>
      <c r="L28" s="510"/>
      <c r="M28" s="510"/>
      <c r="N28" s="510"/>
      <c r="O28" s="510"/>
      <c r="P28" s="510"/>
      <c r="Q28" s="510"/>
      <c r="R28" s="510">
        <v>1</v>
      </c>
      <c r="S28" s="494">
        <f>+'Presupuesto Planificación y D'!T28+'Presupuesto Planificación y D'!T29+'Presupuesto Planificación y D'!T30+'Presupuesto Planificación y D'!T31</f>
        <v>106324.53666666671</v>
      </c>
      <c r="T28" s="506" t="s">
        <v>294</v>
      </c>
      <c r="U28" s="506"/>
    </row>
    <row r="29" spans="1:21" s="19" customFormat="1" ht="37.5" x14ac:dyDescent="0.25">
      <c r="A29" s="1026" t="s">
        <v>1249</v>
      </c>
      <c r="B29" s="497" t="s">
        <v>295</v>
      </c>
      <c r="C29" s="497" t="s">
        <v>296</v>
      </c>
      <c r="D29" s="499" t="s">
        <v>47</v>
      </c>
      <c r="E29" s="499">
        <v>4</v>
      </c>
      <c r="F29" s="511" t="s">
        <v>1250</v>
      </c>
      <c r="G29" s="512">
        <v>1</v>
      </c>
      <c r="H29" s="512"/>
      <c r="I29" s="512"/>
      <c r="J29" s="512">
        <v>1</v>
      </c>
      <c r="K29" s="512"/>
      <c r="L29" s="512"/>
      <c r="M29" s="512">
        <v>1</v>
      </c>
      <c r="N29" s="512"/>
      <c r="O29" s="512"/>
      <c r="P29" s="512">
        <v>1</v>
      </c>
      <c r="Q29" s="512"/>
      <c r="R29" s="512"/>
      <c r="S29" s="1040">
        <f>+'Presupuesto Planificación y D'!U32+'Presupuesto Planificación y D'!U33+'Presupuesto Planificación y D'!U34+'Presupuesto Planificación y D'!U35+'Presupuesto Planificación y D'!U36+'Presupuesto Planificación y D'!U37</f>
        <v>99000</v>
      </c>
      <c r="T29" s="504"/>
      <c r="U29" s="513"/>
    </row>
    <row r="30" spans="1:21" s="19" customFormat="1" ht="37.5" x14ac:dyDescent="0.25">
      <c r="A30" s="1039"/>
      <c r="B30" s="497" t="s">
        <v>610</v>
      </c>
      <c r="C30" s="497" t="s">
        <v>613</v>
      </c>
      <c r="D30" s="499" t="s">
        <v>47</v>
      </c>
      <c r="E30" s="499">
        <v>12</v>
      </c>
      <c r="F30" s="514" t="s">
        <v>1251</v>
      </c>
      <c r="G30" s="512">
        <v>1</v>
      </c>
      <c r="H30" s="512">
        <v>1</v>
      </c>
      <c r="I30" s="512">
        <v>1</v>
      </c>
      <c r="J30" s="512">
        <v>1</v>
      </c>
      <c r="K30" s="512">
        <v>1</v>
      </c>
      <c r="L30" s="512">
        <v>1</v>
      </c>
      <c r="M30" s="512">
        <v>1</v>
      </c>
      <c r="N30" s="512">
        <v>1</v>
      </c>
      <c r="O30" s="512">
        <v>1</v>
      </c>
      <c r="P30" s="512">
        <v>1</v>
      </c>
      <c r="Q30" s="512">
        <v>1</v>
      </c>
      <c r="R30" s="512">
        <v>1</v>
      </c>
      <c r="S30" s="1041"/>
      <c r="T30" s="504"/>
      <c r="U30" s="513"/>
    </row>
    <row r="31" spans="1:21" s="19" customFormat="1" ht="37.5" x14ac:dyDescent="0.25">
      <c r="A31" s="1039"/>
      <c r="B31" s="497" t="s">
        <v>611</v>
      </c>
      <c r="C31" s="497" t="s">
        <v>297</v>
      </c>
      <c r="D31" s="499" t="s">
        <v>47</v>
      </c>
      <c r="E31" s="500">
        <v>4</v>
      </c>
      <c r="F31" s="497" t="s">
        <v>1252</v>
      </c>
      <c r="G31" s="512"/>
      <c r="H31" s="512"/>
      <c r="I31" s="512">
        <v>1</v>
      </c>
      <c r="J31" s="512"/>
      <c r="K31" s="512"/>
      <c r="L31" s="512">
        <v>1</v>
      </c>
      <c r="M31" s="512"/>
      <c r="N31" s="512"/>
      <c r="O31" s="512">
        <v>1</v>
      </c>
      <c r="P31" s="512"/>
      <c r="Q31" s="512"/>
      <c r="R31" s="512">
        <v>1</v>
      </c>
      <c r="S31" s="1041"/>
      <c r="T31" s="504"/>
      <c r="U31" s="513"/>
    </row>
    <row r="32" spans="1:21" s="19" customFormat="1" ht="54.75" customHeight="1" x14ac:dyDescent="0.25">
      <c r="A32" s="1039"/>
      <c r="B32" s="497" t="s">
        <v>298</v>
      </c>
      <c r="C32" s="497" t="s">
        <v>299</v>
      </c>
      <c r="D32" s="499" t="s">
        <v>47</v>
      </c>
      <c r="E32" s="500">
        <v>1</v>
      </c>
      <c r="F32" s="497" t="s">
        <v>1253</v>
      </c>
      <c r="G32" s="512"/>
      <c r="H32" s="512"/>
      <c r="I32" s="512"/>
      <c r="J32" s="512"/>
      <c r="K32" s="512"/>
      <c r="L32" s="512"/>
      <c r="M32" s="512"/>
      <c r="N32" s="512"/>
      <c r="O32" s="512"/>
      <c r="P32" s="512"/>
      <c r="Q32" s="512"/>
      <c r="R32" s="512">
        <v>1</v>
      </c>
      <c r="S32" s="1041"/>
      <c r="T32" s="504"/>
      <c r="U32" s="513"/>
    </row>
    <row r="33" spans="1:21" s="19" customFormat="1" ht="52.5" customHeight="1" x14ac:dyDescent="0.25">
      <c r="A33" s="1039"/>
      <c r="B33" s="497" t="s">
        <v>300</v>
      </c>
      <c r="C33" s="497" t="s">
        <v>291</v>
      </c>
      <c r="D33" s="499" t="s">
        <v>47</v>
      </c>
      <c r="E33" s="500">
        <v>2</v>
      </c>
      <c r="F33" s="497" t="s">
        <v>1254</v>
      </c>
      <c r="G33" s="512"/>
      <c r="H33" s="512"/>
      <c r="I33" s="512">
        <v>1</v>
      </c>
      <c r="J33" s="512"/>
      <c r="K33" s="512"/>
      <c r="L33" s="512"/>
      <c r="M33" s="512"/>
      <c r="N33" s="512"/>
      <c r="O33" s="512"/>
      <c r="P33" s="512"/>
      <c r="Q33" s="512">
        <v>1</v>
      </c>
      <c r="R33" s="512"/>
      <c r="S33" s="1041"/>
      <c r="T33" s="504"/>
      <c r="U33" s="513"/>
    </row>
    <row r="34" spans="1:21" s="19" customFormat="1" ht="76.5" customHeight="1" x14ac:dyDescent="0.25">
      <c r="A34" s="1039"/>
      <c r="B34" s="497" t="s">
        <v>301</v>
      </c>
      <c r="C34" s="497" t="s">
        <v>302</v>
      </c>
      <c r="D34" s="499" t="s">
        <v>47</v>
      </c>
      <c r="E34" s="500">
        <v>1</v>
      </c>
      <c r="F34" s="497" t="s">
        <v>1255</v>
      </c>
      <c r="G34" s="512"/>
      <c r="H34" s="512"/>
      <c r="I34" s="512"/>
      <c r="J34" s="512"/>
      <c r="K34" s="512"/>
      <c r="L34" s="512"/>
      <c r="M34" s="512"/>
      <c r="N34" s="512"/>
      <c r="O34" s="512"/>
      <c r="P34" s="512"/>
      <c r="Q34" s="512"/>
      <c r="R34" s="512">
        <v>1</v>
      </c>
      <c r="S34" s="1041"/>
      <c r="T34" s="504"/>
      <c r="U34" s="513"/>
    </row>
    <row r="35" spans="1:21" s="19" customFormat="1" ht="114" customHeight="1" x14ac:dyDescent="0.25">
      <c r="A35" s="1039"/>
      <c r="B35" s="497" t="s">
        <v>303</v>
      </c>
      <c r="C35" s="497" t="s">
        <v>304</v>
      </c>
      <c r="D35" s="499" t="s">
        <v>47</v>
      </c>
      <c r="E35" s="500">
        <v>3</v>
      </c>
      <c r="F35" s="497" t="s">
        <v>1256</v>
      </c>
      <c r="G35" s="512"/>
      <c r="H35" s="512"/>
      <c r="I35" s="512">
        <v>3</v>
      </c>
      <c r="J35" s="512"/>
      <c r="K35" s="512"/>
      <c r="L35" s="512"/>
      <c r="M35" s="512"/>
      <c r="N35" s="512"/>
      <c r="O35" s="512"/>
      <c r="P35" s="512"/>
      <c r="Q35" s="512"/>
      <c r="R35" s="512"/>
      <c r="S35" s="1041"/>
      <c r="T35" s="504"/>
      <c r="U35" s="513"/>
    </row>
    <row r="36" spans="1:21" s="19" customFormat="1" ht="36" customHeight="1" x14ac:dyDescent="0.25">
      <c r="A36" s="1027"/>
      <c r="B36" s="497" t="s">
        <v>612</v>
      </c>
      <c r="C36" s="497" t="s">
        <v>317</v>
      </c>
      <c r="D36" s="499" t="s">
        <v>47</v>
      </c>
      <c r="E36" s="500">
        <v>12</v>
      </c>
      <c r="F36" s="497" t="s">
        <v>1257</v>
      </c>
      <c r="G36" s="512">
        <v>1</v>
      </c>
      <c r="H36" s="512">
        <v>1</v>
      </c>
      <c r="I36" s="512">
        <v>1</v>
      </c>
      <c r="J36" s="512">
        <v>1</v>
      </c>
      <c r="K36" s="512">
        <v>1</v>
      </c>
      <c r="L36" s="512">
        <v>1</v>
      </c>
      <c r="M36" s="512">
        <v>1</v>
      </c>
      <c r="N36" s="512">
        <v>1</v>
      </c>
      <c r="O36" s="512">
        <v>1</v>
      </c>
      <c r="P36" s="512">
        <v>1</v>
      </c>
      <c r="Q36" s="512">
        <v>1</v>
      </c>
      <c r="R36" s="512">
        <v>1</v>
      </c>
      <c r="S36" s="1042"/>
      <c r="T36" s="504"/>
      <c r="U36" s="513"/>
    </row>
    <row r="37" spans="1:21" s="19" customFormat="1" ht="219" customHeight="1" x14ac:dyDescent="0.25">
      <c r="A37" s="496" t="s">
        <v>1258</v>
      </c>
      <c r="B37" s="492" t="s">
        <v>933</v>
      </c>
      <c r="C37" s="492" t="s">
        <v>931</v>
      </c>
      <c r="D37" s="516" t="s">
        <v>47</v>
      </c>
      <c r="E37" s="491">
        <v>3</v>
      </c>
      <c r="F37" s="517" t="s">
        <v>1259</v>
      </c>
      <c r="G37" s="518"/>
      <c r="H37" s="518"/>
      <c r="I37" s="518"/>
      <c r="J37" s="518"/>
      <c r="K37" s="518"/>
      <c r="L37" s="518"/>
      <c r="M37" s="518"/>
      <c r="N37" s="518"/>
      <c r="O37" s="518"/>
      <c r="P37" s="518"/>
      <c r="Q37" s="518"/>
      <c r="R37" s="518">
        <v>3</v>
      </c>
      <c r="S37" s="494"/>
      <c r="T37" s="506" t="s">
        <v>932</v>
      </c>
      <c r="U37" s="519"/>
    </row>
    <row r="38" spans="1:21" s="19" customFormat="1" ht="93.75" customHeight="1" x14ac:dyDescent="0.25">
      <c r="A38" s="515" t="s">
        <v>1260</v>
      </c>
      <c r="B38" s="497" t="s">
        <v>935</v>
      </c>
      <c r="C38" s="497" t="s">
        <v>934</v>
      </c>
      <c r="D38" s="499" t="s">
        <v>47</v>
      </c>
      <c r="E38" s="500">
        <v>1</v>
      </c>
      <c r="F38" s="520" t="s">
        <v>1261</v>
      </c>
      <c r="G38" s="512"/>
      <c r="H38" s="512"/>
      <c r="I38" s="512"/>
      <c r="J38" s="512"/>
      <c r="K38" s="512"/>
      <c r="L38" s="512"/>
      <c r="M38" s="512"/>
      <c r="N38" s="512"/>
      <c r="O38" s="512"/>
      <c r="P38" s="512"/>
      <c r="Q38" s="512"/>
      <c r="R38" s="512">
        <v>1</v>
      </c>
      <c r="S38" s="502"/>
      <c r="T38" s="504" t="s">
        <v>936</v>
      </c>
      <c r="U38" s="513"/>
    </row>
    <row r="39" spans="1:21" s="19" customFormat="1" ht="58.5" customHeight="1" x14ac:dyDescent="0.25">
      <c r="A39" s="492" t="s">
        <v>1262</v>
      </c>
      <c r="B39" s="517" t="s">
        <v>307</v>
      </c>
      <c r="C39" s="517" t="s">
        <v>308</v>
      </c>
      <c r="D39" s="491" t="s">
        <v>47</v>
      </c>
      <c r="E39" s="491">
        <v>12</v>
      </c>
      <c r="F39" s="517" t="s">
        <v>1263</v>
      </c>
      <c r="G39" s="518">
        <v>1</v>
      </c>
      <c r="H39" s="518">
        <v>1</v>
      </c>
      <c r="I39" s="518">
        <v>1</v>
      </c>
      <c r="J39" s="510">
        <v>1</v>
      </c>
      <c r="K39" s="510">
        <v>1</v>
      </c>
      <c r="L39" s="510">
        <v>1</v>
      </c>
      <c r="M39" s="510">
        <v>1</v>
      </c>
      <c r="N39" s="510">
        <v>1</v>
      </c>
      <c r="O39" s="510">
        <v>1</v>
      </c>
      <c r="P39" s="510">
        <v>1</v>
      </c>
      <c r="Q39" s="510">
        <v>1</v>
      </c>
      <c r="R39" s="510">
        <v>1</v>
      </c>
      <c r="S39" s="494"/>
      <c r="T39" s="506"/>
      <c r="U39" s="506"/>
    </row>
    <row r="40" spans="1:21" s="19" customFormat="1" ht="169.5" customHeight="1" x14ac:dyDescent="0.25">
      <c r="A40" s="497" t="s">
        <v>1264</v>
      </c>
      <c r="B40" s="498" t="s">
        <v>309</v>
      </c>
      <c r="C40" s="497" t="s">
        <v>310</v>
      </c>
      <c r="D40" s="499" t="s">
        <v>47</v>
      </c>
      <c r="E40" s="500">
        <v>1</v>
      </c>
      <c r="F40" s="497" t="s">
        <v>1265</v>
      </c>
      <c r="G40" s="507"/>
      <c r="H40" s="507"/>
      <c r="I40" s="507"/>
      <c r="J40" s="508"/>
      <c r="K40" s="508"/>
      <c r="L40" s="508"/>
      <c r="M40" s="508"/>
      <c r="N40" s="508"/>
      <c r="O40" s="508">
        <v>1</v>
      </c>
      <c r="P40" s="508"/>
      <c r="Q40" s="508"/>
      <c r="R40" s="508"/>
      <c r="S40" s="502"/>
      <c r="T40" s="504"/>
      <c r="U40" s="504"/>
    </row>
    <row r="41" spans="1:21" ht="52.5" customHeight="1" x14ac:dyDescent="0.25">
      <c r="A41" s="521" t="s">
        <v>1266</v>
      </c>
      <c r="B41" s="517" t="s">
        <v>311</v>
      </c>
      <c r="C41" s="517" t="s">
        <v>312</v>
      </c>
      <c r="D41" s="516" t="s">
        <v>47</v>
      </c>
      <c r="E41" s="516">
        <v>12</v>
      </c>
      <c r="F41" s="517" t="s">
        <v>1267</v>
      </c>
      <c r="G41" s="493">
        <v>1</v>
      </c>
      <c r="H41" s="493">
        <v>1</v>
      </c>
      <c r="I41" s="493">
        <v>1</v>
      </c>
      <c r="J41" s="493">
        <v>1</v>
      </c>
      <c r="K41" s="493">
        <v>1</v>
      </c>
      <c r="L41" s="493">
        <v>1</v>
      </c>
      <c r="M41" s="493">
        <v>1</v>
      </c>
      <c r="N41" s="493">
        <v>1</v>
      </c>
      <c r="O41" s="493">
        <v>1</v>
      </c>
      <c r="P41" s="493">
        <v>1</v>
      </c>
      <c r="Q41" s="493">
        <v>1</v>
      </c>
      <c r="R41" s="493">
        <v>1</v>
      </c>
      <c r="S41" s="494"/>
      <c r="T41" s="506"/>
      <c r="U41" s="506"/>
    </row>
    <row r="42" spans="1:21" ht="69" customHeight="1" x14ac:dyDescent="0.25">
      <c r="A42" s="1026" t="s">
        <v>1268</v>
      </c>
      <c r="B42" s="520" t="s">
        <v>313</v>
      </c>
      <c r="C42" s="520" t="s">
        <v>314</v>
      </c>
      <c r="D42" s="499" t="s">
        <v>315</v>
      </c>
      <c r="E42" s="522">
        <v>1</v>
      </c>
      <c r="F42" s="520" t="s">
        <v>1269</v>
      </c>
      <c r="G42" s="501"/>
      <c r="H42" s="501"/>
      <c r="I42" s="523">
        <v>1</v>
      </c>
      <c r="J42" s="501"/>
      <c r="K42" s="501"/>
      <c r="L42" s="523">
        <v>1</v>
      </c>
      <c r="M42" s="501"/>
      <c r="N42" s="501"/>
      <c r="O42" s="523">
        <v>1</v>
      </c>
      <c r="P42" s="501"/>
      <c r="Q42" s="501"/>
      <c r="R42" s="523">
        <v>1</v>
      </c>
      <c r="S42" s="502"/>
      <c r="T42" s="504"/>
      <c r="U42" s="513"/>
    </row>
    <row r="43" spans="1:21" ht="54" customHeight="1" x14ac:dyDescent="0.25">
      <c r="A43" s="1027"/>
      <c r="B43" s="520" t="s">
        <v>316</v>
      </c>
      <c r="C43" s="520" t="s">
        <v>317</v>
      </c>
      <c r="D43" s="499" t="s">
        <v>47</v>
      </c>
      <c r="E43" s="499">
        <v>6</v>
      </c>
      <c r="F43" s="520" t="s">
        <v>1270</v>
      </c>
      <c r="G43" s="501">
        <v>1</v>
      </c>
      <c r="H43" s="501"/>
      <c r="I43" s="501">
        <v>1</v>
      </c>
      <c r="J43" s="501"/>
      <c r="K43" s="501">
        <v>1</v>
      </c>
      <c r="L43" s="501"/>
      <c r="M43" s="501">
        <v>1</v>
      </c>
      <c r="N43" s="501"/>
      <c r="O43" s="501">
        <v>1</v>
      </c>
      <c r="P43" s="501"/>
      <c r="Q43" s="501">
        <v>1</v>
      </c>
      <c r="R43" s="501"/>
      <c r="S43" s="502"/>
      <c r="T43" s="504"/>
      <c r="U43" s="513"/>
    </row>
    <row r="44" spans="1:21" ht="18" x14ac:dyDescent="0.25">
      <c r="A44" s="1021" t="s">
        <v>229</v>
      </c>
      <c r="B44" s="1021"/>
      <c r="C44" s="1021"/>
      <c r="D44" s="1021"/>
      <c r="E44" s="1021"/>
      <c r="F44" s="1021"/>
      <c r="G44" s="1021"/>
      <c r="H44" s="1021"/>
      <c r="I44" s="1021"/>
      <c r="J44" s="1021"/>
      <c r="K44" s="1021"/>
      <c r="L44" s="1021"/>
      <c r="M44" s="1021"/>
      <c r="N44" s="1021"/>
      <c r="O44" s="1021"/>
      <c r="P44" s="1021"/>
      <c r="Q44" s="1021"/>
      <c r="R44" s="1021"/>
      <c r="S44" s="524">
        <f>SUM(S21:S42)</f>
        <v>400000.00333333341</v>
      </c>
      <c r="T44" s="525"/>
      <c r="U44" s="525"/>
    </row>
    <row r="45" spans="1:21" ht="18.75" x14ac:dyDescent="0.3">
      <c r="A45" s="526"/>
      <c r="B45" s="526"/>
      <c r="C45" s="526"/>
      <c r="D45" s="526"/>
      <c r="E45" s="527"/>
      <c r="F45" s="526"/>
      <c r="G45" s="526"/>
      <c r="H45" s="526"/>
      <c r="I45" s="526"/>
      <c r="J45" s="526"/>
      <c r="K45" s="526"/>
      <c r="L45" s="526"/>
      <c r="M45" s="526"/>
      <c r="N45" s="526"/>
      <c r="O45" s="526"/>
      <c r="P45" s="526"/>
      <c r="Q45" s="526"/>
      <c r="R45" s="526"/>
      <c r="S45" s="526"/>
      <c r="T45" s="526"/>
      <c r="U45" s="526"/>
    </row>
    <row r="46" spans="1:21" ht="18.75" x14ac:dyDescent="0.3">
      <c r="A46" s="526"/>
      <c r="B46" s="526"/>
      <c r="C46" s="526"/>
      <c r="D46" s="526"/>
      <c r="E46" s="527"/>
      <c r="F46" s="526"/>
      <c r="G46" s="526"/>
      <c r="H46" s="526"/>
      <c r="I46" s="526"/>
      <c r="J46" s="526"/>
      <c r="K46" s="526"/>
      <c r="L46" s="526"/>
      <c r="M46" s="526"/>
      <c r="N46" s="526"/>
      <c r="O46" s="526"/>
      <c r="P46" s="526"/>
      <c r="Q46" s="526"/>
      <c r="R46" s="526"/>
      <c r="S46" s="526"/>
      <c r="T46" s="526"/>
      <c r="U46" s="526"/>
    </row>
    <row r="47" spans="1:21" ht="18.75" x14ac:dyDescent="0.3">
      <c r="A47" s="526"/>
      <c r="B47" s="526"/>
      <c r="C47" s="526"/>
      <c r="D47" s="526"/>
      <c r="E47" s="527"/>
      <c r="F47" s="526"/>
      <c r="G47" s="526"/>
      <c r="H47" s="526"/>
      <c r="I47" s="526"/>
      <c r="J47" s="526"/>
      <c r="K47" s="526"/>
      <c r="L47" s="526"/>
      <c r="M47" s="526"/>
      <c r="N47" s="526"/>
      <c r="O47" s="526"/>
      <c r="P47" s="526"/>
      <c r="Q47" s="526"/>
      <c r="R47" s="526"/>
      <c r="S47" s="526"/>
      <c r="T47" s="526"/>
      <c r="U47" s="526"/>
    </row>
    <row r="48" spans="1:21" ht="18.75" x14ac:dyDescent="0.3">
      <c r="A48" s="526"/>
      <c r="B48" s="526"/>
      <c r="C48" s="526"/>
      <c r="D48" s="526"/>
      <c r="E48" s="527"/>
      <c r="F48" s="526"/>
      <c r="G48" s="526"/>
      <c r="H48" s="526"/>
      <c r="I48" s="526"/>
      <c r="J48" s="526"/>
      <c r="K48" s="526"/>
      <c r="L48" s="526"/>
      <c r="M48" s="526"/>
      <c r="N48" s="526"/>
      <c r="O48" s="526"/>
      <c r="P48" s="526"/>
      <c r="Q48" s="526"/>
      <c r="R48" s="526"/>
      <c r="S48" s="526"/>
      <c r="T48" s="526"/>
      <c r="U48" s="526"/>
    </row>
    <row r="49" spans="1:21" ht="18.75" x14ac:dyDescent="0.3">
      <c r="A49" s="526"/>
      <c r="B49" s="526"/>
      <c r="C49" s="526"/>
      <c r="D49" s="526"/>
      <c r="E49" s="527"/>
      <c r="F49" s="526"/>
      <c r="G49" s="526"/>
      <c r="H49" s="526"/>
      <c r="I49" s="526"/>
      <c r="J49" s="526"/>
      <c r="K49" s="526"/>
      <c r="L49" s="526"/>
      <c r="M49" s="526"/>
      <c r="N49" s="526"/>
      <c r="O49" s="526"/>
      <c r="P49" s="526"/>
      <c r="Q49" s="526"/>
      <c r="R49" s="526"/>
      <c r="S49" s="526"/>
      <c r="T49" s="526"/>
      <c r="U49" s="526"/>
    </row>
    <row r="50" spans="1:21" ht="18.75" x14ac:dyDescent="0.3">
      <c r="A50" s="526"/>
      <c r="B50" s="526"/>
      <c r="C50" s="526"/>
      <c r="D50" s="526"/>
      <c r="E50" s="527"/>
      <c r="F50" s="526"/>
      <c r="G50" s="1025"/>
      <c r="H50" s="1025"/>
      <c r="I50" s="1025"/>
      <c r="J50" s="1025"/>
      <c r="K50" s="528"/>
      <c r="L50" s="528"/>
      <c r="M50" s="528"/>
      <c r="N50" s="529"/>
      <c r="O50" s="529"/>
      <c r="P50" s="1022"/>
      <c r="Q50" s="1022"/>
      <c r="R50" s="1022"/>
      <c r="S50" s="526"/>
      <c r="T50" s="526"/>
      <c r="U50" s="526"/>
    </row>
    <row r="51" spans="1:21" ht="18.75" x14ac:dyDescent="0.3">
      <c r="A51" s="526"/>
      <c r="B51" s="526"/>
      <c r="C51" s="526"/>
      <c r="D51" s="526"/>
      <c r="E51" s="527"/>
      <c r="F51" s="526"/>
      <c r="G51" s="1023" t="s">
        <v>536</v>
      </c>
      <c r="H51" s="1023"/>
      <c r="I51" s="1023"/>
      <c r="J51" s="1023"/>
      <c r="K51" s="530"/>
      <c r="L51" s="530"/>
      <c r="M51" s="530"/>
      <c r="N51" s="529"/>
      <c r="O51" s="529"/>
      <c r="P51" s="1023" t="s">
        <v>537</v>
      </c>
      <c r="Q51" s="1023"/>
      <c r="R51" s="1023"/>
      <c r="S51" s="526"/>
      <c r="T51" s="526"/>
      <c r="U51" s="526"/>
    </row>
    <row r="52" spans="1:21" ht="18.75" x14ac:dyDescent="0.3">
      <c r="A52" s="526"/>
      <c r="B52" s="526"/>
      <c r="C52" s="526"/>
      <c r="D52" s="526"/>
      <c r="E52" s="527"/>
      <c r="F52" s="526"/>
      <c r="G52" s="1024" t="s">
        <v>546</v>
      </c>
      <c r="H52" s="1024"/>
      <c r="I52" s="1024"/>
      <c r="J52" s="1024"/>
      <c r="K52" s="529"/>
      <c r="L52" s="529"/>
      <c r="M52" s="529"/>
      <c r="N52" s="529"/>
      <c r="O52" s="529"/>
      <c r="P52" s="1024" t="s">
        <v>538</v>
      </c>
      <c r="Q52" s="1024"/>
      <c r="R52" s="1024"/>
      <c r="S52" s="526"/>
      <c r="T52" s="526"/>
      <c r="U52" s="526"/>
    </row>
    <row r="53" spans="1:21" ht="18.75" x14ac:dyDescent="0.3">
      <c r="A53" s="526"/>
      <c r="B53" s="526"/>
      <c r="C53" s="526"/>
      <c r="D53" s="526"/>
      <c r="E53" s="527"/>
      <c r="F53" s="526"/>
      <c r="G53" s="526"/>
      <c r="H53" s="526"/>
      <c r="I53" s="526"/>
      <c r="J53" s="526"/>
      <c r="K53" s="526"/>
      <c r="L53" s="526"/>
      <c r="M53" s="526"/>
      <c r="N53" s="526"/>
      <c r="O53" s="526"/>
      <c r="P53" s="526"/>
      <c r="Q53" s="526"/>
      <c r="R53" s="526"/>
      <c r="S53" s="526"/>
      <c r="T53" s="526"/>
      <c r="U53" s="526"/>
    </row>
  </sheetData>
  <mergeCells count="33">
    <mergeCell ref="B17:U17"/>
    <mergeCell ref="A9:T9"/>
    <mergeCell ref="B15:U15"/>
    <mergeCell ref="B16:U16"/>
    <mergeCell ref="A12:U12"/>
    <mergeCell ref="A13:U13"/>
    <mergeCell ref="T19:T20"/>
    <mergeCell ref="U19:U20"/>
    <mergeCell ref="A19:A20"/>
    <mergeCell ref="B19:B20"/>
    <mergeCell ref="C19:C20"/>
    <mergeCell ref="D19:E19"/>
    <mergeCell ref="F19:F20"/>
    <mergeCell ref="G19:I19"/>
    <mergeCell ref="A42:A43"/>
    <mergeCell ref="J19:L19"/>
    <mergeCell ref="M19:O19"/>
    <mergeCell ref="P19:R19"/>
    <mergeCell ref="S19:S20"/>
    <mergeCell ref="A21:A24"/>
    <mergeCell ref="B21:B24"/>
    <mergeCell ref="C21:C24"/>
    <mergeCell ref="D21:D24"/>
    <mergeCell ref="A29:A36"/>
    <mergeCell ref="S29:S36"/>
    <mergeCell ref="S21:S24"/>
    <mergeCell ref="A44:R44"/>
    <mergeCell ref="P50:R50"/>
    <mergeCell ref="P51:R51"/>
    <mergeCell ref="P52:R52"/>
    <mergeCell ref="G50:J50"/>
    <mergeCell ref="G51:J51"/>
    <mergeCell ref="G52:J52"/>
  </mergeCells>
  <pageMargins left="0.23622047244094491" right="0.23622047244094491" top="0.39370078740157483" bottom="0.39370078740157483" header="0.31496062992125984" footer="0.31496062992125984"/>
  <pageSetup paperSize="5" scale="30" fitToHeight="0" orientation="landscape" horizontalDpi="1200" verticalDpi="1200" r:id="rId1"/>
  <headerFooter>
    <oddFooter>&amp;CPágina &amp;P de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3C1B0-68B9-4536-9B9B-5DD701A918D3}">
  <sheetPr codeName="Sheet22">
    <pageSetUpPr fitToPage="1"/>
  </sheetPr>
  <dimension ref="A10:V50"/>
  <sheetViews>
    <sheetView topLeftCell="A19" zoomScale="50" zoomScaleNormal="50" workbookViewId="0">
      <selection activeCell="U20" activeCellId="1" sqref="E20:E37 U20:U37"/>
    </sheetView>
  </sheetViews>
  <sheetFormatPr defaultColWidth="11.42578125" defaultRowHeight="14.25" x14ac:dyDescent="0.2"/>
  <cols>
    <col min="1" max="1" width="43.42578125" style="2" customWidth="1"/>
    <col min="2" max="2" width="42.140625" style="24" customWidth="1"/>
    <col min="3" max="3" width="24.85546875" style="2" customWidth="1"/>
    <col min="4" max="4" width="26.7109375" style="2" customWidth="1"/>
    <col min="5" max="5" width="14.140625" style="2" customWidth="1"/>
    <col min="6" max="7" width="17.42578125" style="2" customWidth="1"/>
    <col min="8" max="8" width="17.28515625" style="14" customWidth="1"/>
    <col min="9" max="9" width="16.140625" style="2" bestFit="1" customWidth="1"/>
    <col min="10" max="10" width="16.140625" style="2" customWidth="1"/>
    <col min="11" max="11" width="18.42578125" style="2" bestFit="1" customWidth="1"/>
    <col min="12" max="12" width="17.28515625" style="2" customWidth="1"/>
    <col min="13" max="13" width="16.28515625" style="2" customWidth="1"/>
    <col min="14" max="14" width="20.28515625" style="2" customWidth="1"/>
    <col min="15" max="15" width="17.5703125" style="2" bestFit="1" customWidth="1"/>
    <col min="16" max="16" width="16.28515625" style="2" customWidth="1"/>
    <col min="17" max="17" width="18.7109375" style="2" customWidth="1"/>
    <col min="18" max="18" width="16" style="2" customWidth="1"/>
    <col min="19" max="19" width="18.7109375" style="2" bestFit="1" customWidth="1"/>
    <col min="20" max="20" width="18.42578125" style="2" customWidth="1"/>
    <col min="21" max="21" width="22.140625" style="2" bestFit="1" customWidth="1"/>
    <col min="22" max="22" width="22.140625" style="2" customWidth="1"/>
    <col min="23" max="16384" width="11.42578125" style="2"/>
  </cols>
  <sheetData>
    <row r="10" spans="1:22" ht="28.5" customHeight="1" x14ac:dyDescent="0.25">
      <c r="A10" s="858" t="s">
        <v>230</v>
      </c>
      <c r="B10" s="858"/>
      <c r="C10" s="858"/>
      <c r="D10" s="858"/>
      <c r="E10" s="858"/>
      <c r="F10" s="858"/>
      <c r="G10" s="858"/>
      <c r="H10" s="858"/>
      <c r="I10" s="858"/>
      <c r="J10" s="858"/>
      <c r="K10" s="858"/>
      <c r="L10" s="858"/>
      <c r="M10" s="858"/>
      <c r="N10" s="858"/>
      <c r="O10" s="858"/>
      <c r="P10" s="858"/>
      <c r="Q10" s="858"/>
      <c r="R10" s="858"/>
      <c r="S10" s="858"/>
      <c r="T10" s="858"/>
      <c r="U10" s="858"/>
      <c r="V10" s="858"/>
    </row>
    <row r="11" spans="1:22" ht="19.5" x14ac:dyDescent="0.25">
      <c r="A11" s="858" t="s">
        <v>1</v>
      </c>
      <c r="B11" s="858"/>
      <c r="C11" s="858"/>
      <c r="D11" s="858"/>
      <c r="E11" s="858"/>
      <c r="F11" s="858"/>
      <c r="G11" s="858"/>
      <c r="H11" s="858"/>
      <c r="I11" s="858"/>
      <c r="J11" s="858"/>
      <c r="K11" s="858"/>
      <c r="L11" s="858"/>
      <c r="M11" s="858"/>
      <c r="N11" s="858"/>
      <c r="O11" s="858"/>
      <c r="P11" s="858"/>
      <c r="Q11" s="858"/>
      <c r="R11" s="858"/>
      <c r="S11" s="858"/>
      <c r="T11" s="858"/>
      <c r="U11" s="858"/>
      <c r="V11" s="858"/>
    </row>
    <row r="12" spans="1:22" ht="19.5" x14ac:dyDescent="0.25">
      <c r="A12" s="858" t="s">
        <v>42</v>
      </c>
      <c r="B12" s="858"/>
      <c r="C12" s="858"/>
      <c r="D12" s="858"/>
      <c r="E12" s="858"/>
      <c r="F12" s="858"/>
      <c r="G12" s="858"/>
      <c r="H12" s="858"/>
      <c r="I12" s="858"/>
      <c r="J12" s="858"/>
      <c r="K12" s="858"/>
      <c r="L12" s="858"/>
      <c r="M12" s="858"/>
      <c r="N12" s="858"/>
      <c r="O12" s="858"/>
      <c r="P12" s="858"/>
      <c r="Q12" s="858"/>
      <c r="R12" s="858"/>
      <c r="S12" s="858"/>
      <c r="T12" s="858"/>
      <c r="U12" s="858"/>
      <c r="V12" s="858"/>
    </row>
    <row r="13" spans="1:22" ht="19.5" x14ac:dyDescent="0.25">
      <c r="A13" s="1"/>
      <c r="B13" s="1"/>
      <c r="C13" s="1"/>
      <c r="D13" s="1"/>
      <c r="E13" s="1"/>
      <c r="F13" s="1"/>
      <c r="G13" s="1"/>
      <c r="H13" s="1"/>
      <c r="I13" s="1"/>
      <c r="J13" s="1"/>
      <c r="K13" s="1"/>
      <c r="L13" s="1"/>
      <c r="M13" s="1"/>
      <c r="N13" s="1"/>
      <c r="O13" s="1"/>
      <c r="P13" s="1"/>
      <c r="Q13" s="1"/>
      <c r="R13" s="1"/>
      <c r="S13" s="1"/>
      <c r="T13" s="1"/>
      <c r="U13" s="1"/>
      <c r="V13" s="1"/>
    </row>
    <row r="14" spans="1:22" ht="15" x14ac:dyDescent="0.2">
      <c r="A14" s="100" t="s">
        <v>282</v>
      </c>
      <c r="B14" s="848" t="s">
        <v>318</v>
      </c>
      <c r="C14" s="848"/>
      <c r="D14" s="848"/>
      <c r="E14" s="848"/>
      <c r="F14" s="848"/>
      <c r="G14" s="848"/>
      <c r="H14" s="848"/>
      <c r="I14" s="848"/>
      <c r="J14" s="848"/>
      <c r="K14" s="848"/>
      <c r="L14" s="848"/>
      <c r="M14" s="848"/>
      <c r="N14" s="848"/>
      <c r="O14" s="848"/>
      <c r="P14" s="848"/>
      <c r="Q14" s="848"/>
      <c r="R14" s="848"/>
      <c r="S14" s="848"/>
      <c r="T14" s="848"/>
      <c r="U14" s="848"/>
      <c r="V14" s="848"/>
    </row>
    <row r="15" spans="1:22" ht="15" x14ac:dyDescent="0.2">
      <c r="A15" s="100" t="s">
        <v>186</v>
      </c>
      <c r="B15" s="848" t="s">
        <v>319</v>
      </c>
      <c r="C15" s="848"/>
      <c r="D15" s="848"/>
      <c r="E15" s="848"/>
      <c r="F15" s="848"/>
      <c r="G15" s="848"/>
      <c r="H15" s="848"/>
      <c r="I15" s="848"/>
      <c r="J15" s="848"/>
      <c r="K15" s="848"/>
      <c r="L15" s="848"/>
      <c r="M15" s="848"/>
      <c r="N15" s="848"/>
      <c r="O15" s="848"/>
      <c r="P15" s="848"/>
      <c r="Q15" s="848"/>
      <c r="R15" s="848"/>
      <c r="S15" s="848"/>
      <c r="T15" s="848"/>
      <c r="U15" s="848"/>
      <c r="V15" s="848"/>
    </row>
    <row r="16" spans="1:22" ht="15" x14ac:dyDescent="0.2">
      <c r="A16" s="100" t="s">
        <v>188</v>
      </c>
      <c r="B16" s="848" t="s">
        <v>320</v>
      </c>
      <c r="C16" s="848"/>
      <c r="D16" s="848"/>
      <c r="E16" s="848"/>
      <c r="F16" s="848"/>
      <c r="G16" s="848"/>
      <c r="H16" s="848"/>
      <c r="I16" s="848"/>
      <c r="J16" s="848"/>
      <c r="K16" s="848"/>
      <c r="L16" s="848"/>
      <c r="M16" s="848"/>
      <c r="N16" s="848"/>
      <c r="O16" s="848"/>
      <c r="P16" s="848"/>
      <c r="Q16" s="848"/>
      <c r="R16" s="848"/>
      <c r="S16" s="848"/>
      <c r="T16" s="848"/>
      <c r="U16" s="848"/>
      <c r="V16" s="848"/>
    </row>
    <row r="17" spans="1:22" ht="15" x14ac:dyDescent="0.2">
      <c r="A17" s="101"/>
      <c r="B17" s="102"/>
      <c r="C17" s="101"/>
      <c r="D17" s="101"/>
      <c r="E17" s="101"/>
      <c r="F17" s="101"/>
      <c r="G17" s="101"/>
      <c r="H17" s="103"/>
      <c r="I17" s="101"/>
      <c r="J17" s="101"/>
      <c r="K17" s="101"/>
      <c r="L17" s="101"/>
      <c r="M17" s="101"/>
      <c r="N17" s="101"/>
      <c r="O17" s="101"/>
      <c r="P17" s="101"/>
      <c r="Q17" s="101"/>
      <c r="R17" s="101"/>
      <c r="S17" s="101"/>
      <c r="T17" s="101"/>
      <c r="U17" s="101"/>
      <c r="V17" s="101"/>
    </row>
    <row r="18" spans="1:22" ht="18.75" customHeight="1" x14ac:dyDescent="0.2">
      <c r="A18" s="856" t="s">
        <v>6</v>
      </c>
      <c r="B18" s="856" t="s">
        <v>10</v>
      </c>
      <c r="C18" s="856" t="s">
        <v>43</v>
      </c>
      <c r="D18" s="856" t="s">
        <v>44</v>
      </c>
      <c r="E18" s="856" t="s">
        <v>45</v>
      </c>
      <c r="F18" s="856" t="s">
        <v>46</v>
      </c>
      <c r="G18" s="856" t="s">
        <v>47</v>
      </c>
      <c r="H18" s="856" t="s">
        <v>231</v>
      </c>
      <c r="I18" s="902" t="s">
        <v>11</v>
      </c>
      <c r="J18" s="903"/>
      <c r="K18" s="904"/>
      <c r="L18" s="902" t="s">
        <v>12</v>
      </c>
      <c r="M18" s="903"/>
      <c r="N18" s="904"/>
      <c r="O18" s="902" t="s">
        <v>13</v>
      </c>
      <c r="P18" s="903"/>
      <c r="Q18" s="904"/>
      <c r="R18" s="902" t="s">
        <v>14</v>
      </c>
      <c r="S18" s="903"/>
      <c r="T18" s="904"/>
      <c r="U18" s="856" t="s">
        <v>321</v>
      </c>
      <c r="V18" s="856" t="s">
        <v>232</v>
      </c>
    </row>
    <row r="19" spans="1:22" s="4" customFormat="1" ht="32.25" customHeight="1" x14ac:dyDescent="0.25">
      <c r="A19" s="857"/>
      <c r="B19" s="857"/>
      <c r="C19" s="857"/>
      <c r="D19" s="857"/>
      <c r="E19" s="857"/>
      <c r="F19" s="857"/>
      <c r="G19" s="857"/>
      <c r="H19" s="857"/>
      <c r="I19" s="96" t="s">
        <v>19</v>
      </c>
      <c r="J19" s="96" t="s">
        <v>20</v>
      </c>
      <c r="K19" s="96" t="s">
        <v>21</v>
      </c>
      <c r="L19" s="96" t="s">
        <v>22</v>
      </c>
      <c r="M19" s="96" t="s">
        <v>23</v>
      </c>
      <c r="N19" s="96" t="s">
        <v>24</v>
      </c>
      <c r="O19" s="96" t="s">
        <v>25</v>
      </c>
      <c r="P19" s="96" t="s">
        <v>26</v>
      </c>
      <c r="Q19" s="96" t="s">
        <v>27</v>
      </c>
      <c r="R19" s="96" t="s">
        <v>28</v>
      </c>
      <c r="S19" s="96" t="s">
        <v>29</v>
      </c>
      <c r="T19" s="96" t="s">
        <v>30</v>
      </c>
      <c r="U19" s="857"/>
      <c r="V19" s="857"/>
    </row>
    <row r="20" spans="1:22" ht="48" customHeight="1" x14ac:dyDescent="0.2">
      <c r="A20" s="1051" t="s">
        <v>1271</v>
      </c>
      <c r="B20" s="1051" t="s">
        <v>1272</v>
      </c>
      <c r="C20" s="106" t="s">
        <v>486</v>
      </c>
      <c r="D20" s="226" t="s">
        <v>239</v>
      </c>
      <c r="E20" s="133" t="s">
        <v>238</v>
      </c>
      <c r="F20" s="133" t="s">
        <v>322</v>
      </c>
      <c r="G20" s="133">
        <v>25</v>
      </c>
      <c r="H20" s="108">
        <v>300</v>
      </c>
      <c r="I20" s="108">
        <v>0</v>
      </c>
      <c r="J20" s="108">
        <v>0</v>
      </c>
      <c r="K20" s="108">
        <v>0</v>
      </c>
      <c r="L20" s="108">
        <v>0</v>
      </c>
      <c r="M20" s="108">
        <v>0</v>
      </c>
      <c r="N20" s="108">
        <v>0</v>
      </c>
      <c r="O20" s="108">
        <f>+G20*H20</f>
        <v>7500</v>
      </c>
      <c r="P20" s="108">
        <v>0</v>
      </c>
      <c r="Q20" s="108">
        <v>0</v>
      </c>
      <c r="R20" s="108">
        <v>0</v>
      </c>
      <c r="S20" s="108">
        <v>0</v>
      </c>
      <c r="T20" s="108">
        <v>0</v>
      </c>
      <c r="U20" s="533">
        <f>SUM(I20:T20)</f>
        <v>7500</v>
      </c>
      <c r="V20" s="111"/>
    </row>
    <row r="21" spans="1:22" ht="62.25" customHeight="1" x14ac:dyDescent="0.2">
      <c r="A21" s="1057"/>
      <c r="B21" s="1052"/>
      <c r="C21" s="106" t="s">
        <v>486</v>
      </c>
      <c r="D21" s="226" t="s">
        <v>323</v>
      </c>
      <c r="E21" s="133" t="s">
        <v>238</v>
      </c>
      <c r="F21" s="133" t="s">
        <v>322</v>
      </c>
      <c r="G21" s="133">
        <v>25</v>
      </c>
      <c r="H21" s="108">
        <v>1032.5</v>
      </c>
      <c r="I21" s="108">
        <v>0</v>
      </c>
      <c r="J21" s="108">
        <v>0</v>
      </c>
      <c r="K21" s="108">
        <v>0</v>
      </c>
      <c r="L21" s="108">
        <v>0</v>
      </c>
      <c r="M21" s="108">
        <v>0</v>
      </c>
      <c r="N21" s="108">
        <v>0</v>
      </c>
      <c r="O21" s="108">
        <f t="shared" ref="O21:O23" si="0">+G21*H21</f>
        <v>25812.5</v>
      </c>
      <c r="P21" s="108">
        <v>0</v>
      </c>
      <c r="Q21" s="108">
        <v>0</v>
      </c>
      <c r="R21" s="108">
        <v>0</v>
      </c>
      <c r="S21" s="108">
        <v>0</v>
      </c>
      <c r="T21" s="108">
        <v>0</v>
      </c>
      <c r="U21" s="533">
        <f t="shared" ref="U21:U37" si="1">SUM(I21:T21)</f>
        <v>25812.5</v>
      </c>
      <c r="V21" s="111"/>
    </row>
    <row r="22" spans="1:22" ht="51" customHeight="1" x14ac:dyDescent="0.2">
      <c r="A22" s="1057"/>
      <c r="B22" s="1052"/>
      <c r="C22" s="106" t="s">
        <v>486</v>
      </c>
      <c r="D22" s="226" t="s">
        <v>324</v>
      </c>
      <c r="E22" s="133" t="s">
        <v>238</v>
      </c>
      <c r="F22" s="133" t="s">
        <v>322</v>
      </c>
      <c r="G22" s="133">
        <v>25</v>
      </c>
      <c r="H22" s="108">
        <v>116.82</v>
      </c>
      <c r="I22" s="108">
        <v>0</v>
      </c>
      <c r="J22" s="108">
        <v>0</v>
      </c>
      <c r="K22" s="108">
        <v>0</v>
      </c>
      <c r="L22" s="108">
        <v>0</v>
      </c>
      <c r="M22" s="108">
        <v>0</v>
      </c>
      <c r="N22" s="108">
        <v>0</v>
      </c>
      <c r="O22" s="108">
        <f t="shared" si="0"/>
        <v>2920.5</v>
      </c>
      <c r="P22" s="108">
        <v>0</v>
      </c>
      <c r="Q22" s="108">
        <v>0</v>
      </c>
      <c r="R22" s="108">
        <v>0</v>
      </c>
      <c r="S22" s="108">
        <v>0</v>
      </c>
      <c r="T22" s="108">
        <v>0</v>
      </c>
      <c r="U22" s="533">
        <f t="shared" si="1"/>
        <v>2920.5</v>
      </c>
      <c r="V22" s="111"/>
    </row>
    <row r="23" spans="1:22" ht="58.5" customHeight="1" x14ac:dyDescent="0.2">
      <c r="A23" s="1057"/>
      <c r="B23" s="1053"/>
      <c r="C23" s="106" t="s">
        <v>486</v>
      </c>
      <c r="D23" s="132" t="s">
        <v>325</v>
      </c>
      <c r="E23" s="131" t="s">
        <v>234</v>
      </c>
      <c r="F23" s="133" t="s">
        <v>131</v>
      </c>
      <c r="G23" s="133">
        <v>1</v>
      </c>
      <c r="H23" s="108">
        <v>50000</v>
      </c>
      <c r="I23" s="108">
        <v>0</v>
      </c>
      <c r="J23" s="108">
        <v>0</v>
      </c>
      <c r="K23" s="108">
        <v>0</v>
      </c>
      <c r="L23" s="108">
        <v>0</v>
      </c>
      <c r="M23" s="108">
        <v>0</v>
      </c>
      <c r="N23" s="108">
        <v>0</v>
      </c>
      <c r="O23" s="108">
        <f t="shared" si="0"/>
        <v>50000</v>
      </c>
      <c r="P23" s="108">
        <v>0</v>
      </c>
      <c r="Q23" s="108">
        <v>0</v>
      </c>
      <c r="R23" s="108">
        <v>0</v>
      </c>
      <c r="S23" s="108">
        <v>0</v>
      </c>
      <c r="T23" s="108">
        <v>0</v>
      </c>
      <c r="U23" s="533">
        <f t="shared" si="1"/>
        <v>50000</v>
      </c>
      <c r="V23" s="111"/>
    </row>
    <row r="24" spans="1:22" ht="58.5" customHeight="1" x14ac:dyDescent="0.2">
      <c r="A24" s="1057"/>
      <c r="B24" s="1054" t="s">
        <v>1237</v>
      </c>
      <c r="C24" s="106" t="s">
        <v>486</v>
      </c>
      <c r="D24" s="226" t="s">
        <v>239</v>
      </c>
      <c r="E24" s="133" t="s">
        <v>238</v>
      </c>
      <c r="F24" s="133" t="s">
        <v>322</v>
      </c>
      <c r="G24" s="133">
        <v>25</v>
      </c>
      <c r="H24" s="108">
        <v>390</v>
      </c>
      <c r="I24" s="108">
        <v>0</v>
      </c>
      <c r="J24" s="108">
        <v>0</v>
      </c>
      <c r="K24" s="108">
        <v>0</v>
      </c>
      <c r="L24" s="108">
        <v>0</v>
      </c>
      <c r="M24" s="108">
        <v>0</v>
      </c>
      <c r="N24" s="108">
        <v>0</v>
      </c>
      <c r="O24" s="108">
        <v>0</v>
      </c>
      <c r="P24" s="108">
        <v>0</v>
      </c>
      <c r="Q24" s="108">
        <v>0</v>
      </c>
      <c r="R24" s="108">
        <v>0</v>
      </c>
      <c r="S24" s="108">
        <f>+H24*G24</f>
        <v>9750</v>
      </c>
      <c r="T24" s="108"/>
      <c r="U24" s="533">
        <f t="shared" si="1"/>
        <v>9750</v>
      </c>
      <c r="V24" s="111"/>
    </row>
    <row r="25" spans="1:22" ht="58.5" customHeight="1" x14ac:dyDescent="0.2">
      <c r="A25" s="1057"/>
      <c r="B25" s="1055"/>
      <c r="C25" s="106" t="s">
        <v>486</v>
      </c>
      <c r="D25" s="226" t="s">
        <v>323</v>
      </c>
      <c r="E25" s="133" t="s">
        <v>238</v>
      </c>
      <c r="F25" s="133" t="s">
        <v>322</v>
      </c>
      <c r="G25" s="133">
        <v>25</v>
      </c>
      <c r="H25" s="108">
        <v>1032.5</v>
      </c>
      <c r="I25" s="108">
        <v>0</v>
      </c>
      <c r="J25" s="108">
        <v>0</v>
      </c>
      <c r="K25" s="108">
        <v>0</v>
      </c>
      <c r="L25" s="108">
        <v>0</v>
      </c>
      <c r="M25" s="108">
        <v>0</v>
      </c>
      <c r="N25" s="108">
        <v>0</v>
      </c>
      <c r="O25" s="108">
        <v>0</v>
      </c>
      <c r="P25" s="108">
        <v>0</v>
      </c>
      <c r="Q25" s="108">
        <v>0</v>
      </c>
      <c r="R25" s="108">
        <v>0</v>
      </c>
      <c r="S25" s="108">
        <f t="shared" ref="S25:S27" si="2">+H25*G25</f>
        <v>25812.5</v>
      </c>
      <c r="T25" s="108"/>
      <c r="U25" s="533">
        <f t="shared" si="1"/>
        <v>25812.5</v>
      </c>
      <c r="V25" s="111"/>
    </row>
    <row r="26" spans="1:22" ht="58.5" customHeight="1" x14ac:dyDescent="0.2">
      <c r="A26" s="1057"/>
      <c r="B26" s="1055"/>
      <c r="C26" s="106" t="s">
        <v>486</v>
      </c>
      <c r="D26" s="226" t="s">
        <v>324</v>
      </c>
      <c r="E26" s="133" t="s">
        <v>238</v>
      </c>
      <c r="F26" s="133" t="s">
        <v>322</v>
      </c>
      <c r="G26" s="133">
        <v>25</v>
      </c>
      <c r="H26" s="108">
        <v>116.82</v>
      </c>
      <c r="I26" s="108">
        <v>0</v>
      </c>
      <c r="J26" s="108">
        <v>0</v>
      </c>
      <c r="K26" s="108">
        <v>0</v>
      </c>
      <c r="L26" s="108">
        <v>0</v>
      </c>
      <c r="M26" s="108">
        <v>0</v>
      </c>
      <c r="N26" s="108">
        <v>0</v>
      </c>
      <c r="O26" s="108">
        <v>0</v>
      </c>
      <c r="P26" s="108">
        <v>0</v>
      </c>
      <c r="Q26" s="108">
        <v>0</v>
      </c>
      <c r="R26" s="108">
        <v>0</v>
      </c>
      <c r="S26" s="108">
        <f t="shared" si="2"/>
        <v>2920.5</v>
      </c>
      <c r="T26" s="108"/>
      <c r="U26" s="533">
        <f t="shared" si="1"/>
        <v>2920.5</v>
      </c>
      <c r="V26" s="111"/>
    </row>
    <row r="27" spans="1:22" ht="58.5" customHeight="1" x14ac:dyDescent="0.2">
      <c r="A27" s="1058"/>
      <c r="B27" s="1056"/>
      <c r="C27" s="106" t="s">
        <v>486</v>
      </c>
      <c r="D27" s="132" t="s">
        <v>325</v>
      </c>
      <c r="E27" s="131" t="s">
        <v>234</v>
      </c>
      <c r="F27" s="133" t="s">
        <v>131</v>
      </c>
      <c r="G27" s="133">
        <v>1</v>
      </c>
      <c r="H27" s="108">
        <v>69959.466666666674</v>
      </c>
      <c r="I27" s="108">
        <v>0</v>
      </c>
      <c r="J27" s="108">
        <v>0</v>
      </c>
      <c r="K27" s="108">
        <v>0</v>
      </c>
      <c r="L27" s="108">
        <v>0</v>
      </c>
      <c r="M27" s="108">
        <v>0</v>
      </c>
      <c r="N27" s="108">
        <v>0</v>
      </c>
      <c r="O27" s="108">
        <v>0</v>
      </c>
      <c r="P27" s="108">
        <v>0</v>
      </c>
      <c r="Q27" s="108">
        <v>0</v>
      </c>
      <c r="R27" s="108">
        <v>0</v>
      </c>
      <c r="S27" s="108">
        <f t="shared" si="2"/>
        <v>69959.466666666674</v>
      </c>
      <c r="T27" s="108"/>
      <c r="U27" s="533">
        <f t="shared" si="1"/>
        <v>69959.466666666674</v>
      </c>
      <c r="V27" s="111"/>
    </row>
    <row r="28" spans="1:22" ht="58.5" customHeight="1" x14ac:dyDescent="0.2">
      <c r="A28" s="1048" t="s">
        <v>1247</v>
      </c>
      <c r="B28" s="1048" t="s">
        <v>1273</v>
      </c>
      <c r="C28" s="112" t="s">
        <v>486</v>
      </c>
      <c r="D28" s="230" t="s">
        <v>239</v>
      </c>
      <c r="E28" s="136" t="s">
        <v>238</v>
      </c>
      <c r="F28" s="136" t="s">
        <v>322</v>
      </c>
      <c r="G28" s="136">
        <v>25</v>
      </c>
      <c r="H28" s="118">
        <v>300</v>
      </c>
      <c r="I28" s="118">
        <v>0</v>
      </c>
      <c r="J28" s="118">
        <v>0</v>
      </c>
      <c r="K28" s="118">
        <v>0</v>
      </c>
      <c r="L28" s="118">
        <v>0</v>
      </c>
      <c r="M28" s="118">
        <v>0</v>
      </c>
      <c r="N28" s="118">
        <v>0</v>
      </c>
      <c r="O28" s="118">
        <v>0</v>
      </c>
      <c r="P28" s="118">
        <v>0</v>
      </c>
      <c r="Q28" s="118">
        <v>0</v>
      </c>
      <c r="R28" s="118">
        <v>0</v>
      </c>
      <c r="S28" s="118">
        <v>0</v>
      </c>
      <c r="T28" s="118">
        <f>+G28*H28</f>
        <v>7500</v>
      </c>
      <c r="U28" s="352">
        <f t="shared" si="1"/>
        <v>7500</v>
      </c>
      <c r="V28" s="122"/>
    </row>
    <row r="29" spans="1:22" ht="52.5" customHeight="1" x14ac:dyDescent="0.2">
      <c r="A29" s="1049"/>
      <c r="B29" s="1049"/>
      <c r="C29" s="112" t="s">
        <v>486</v>
      </c>
      <c r="D29" s="230" t="s">
        <v>323</v>
      </c>
      <c r="E29" s="136" t="s">
        <v>238</v>
      </c>
      <c r="F29" s="136" t="s">
        <v>322</v>
      </c>
      <c r="G29" s="136">
        <v>25</v>
      </c>
      <c r="H29" s="118">
        <v>1032.5</v>
      </c>
      <c r="I29" s="118">
        <v>0</v>
      </c>
      <c r="J29" s="118">
        <v>0</v>
      </c>
      <c r="K29" s="118">
        <v>0</v>
      </c>
      <c r="L29" s="118">
        <v>0</v>
      </c>
      <c r="M29" s="118">
        <v>0</v>
      </c>
      <c r="N29" s="118">
        <v>0</v>
      </c>
      <c r="O29" s="118">
        <v>0</v>
      </c>
      <c r="P29" s="118">
        <v>0</v>
      </c>
      <c r="Q29" s="118">
        <v>0</v>
      </c>
      <c r="R29" s="118">
        <v>0</v>
      </c>
      <c r="S29" s="118">
        <v>0</v>
      </c>
      <c r="T29" s="118">
        <f t="shared" ref="T29:T33" si="3">+G29*H29</f>
        <v>25812.5</v>
      </c>
      <c r="U29" s="352">
        <f t="shared" si="1"/>
        <v>25812.5</v>
      </c>
      <c r="V29" s="122"/>
    </row>
    <row r="30" spans="1:22" ht="52.5" customHeight="1" x14ac:dyDescent="0.2">
      <c r="A30" s="1049"/>
      <c r="B30" s="1049"/>
      <c r="C30" s="112" t="s">
        <v>486</v>
      </c>
      <c r="D30" s="230" t="s">
        <v>324</v>
      </c>
      <c r="E30" s="136" t="s">
        <v>238</v>
      </c>
      <c r="F30" s="136" t="s">
        <v>322</v>
      </c>
      <c r="G30" s="136">
        <v>25</v>
      </c>
      <c r="H30" s="118">
        <v>116.82</v>
      </c>
      <c r="I30" s="118">
        <v>0</v>
      </c>
      <c r="J30" s="118">
        <v>0</v>
      </c>
      <c r="K30" s="118">
        <v>0</v>
      </c>
      <c r="L30" s="118">
        <v>0</v>
      </c>
      <c r="M30" s="118">
        <v>0</v>
      </c>
      <c r="N30" s="118">
        <v>0</v>
      </c>
      <c r="O30" s="118">
        <v>0</v>
      </c>
      <c r="P30" s="118">
        <v>0</v>
      </c>
      <c r="Q30" s="118">
        <v>0</v>
      </c>
      <c r="R30" s="118">
        <v>0</v>
      </c>
      <c r="S30" s="118">
        <v>0</v>
      </c>
      <c r="T30" s="118">
        <f t="shared" si="3"/>
        <v>2920.5</v>
      </c>
      <c r="U30" s="352">
        <f t="shared" si="1"/>
        <v>2920.5</v>
      </c>
      <c r="V30" s="122"/>
    </row>
    <row r="31" spans="1:22" ht="68.25" customHeight="1" x14ac:dyDescent="0.2">
      <c r="A31" s="1050"/>
      <c r="B31" s="1050"/>
      <c r="C31" s="112" t="s">
        <v>486</v>
      </c>
      <c r="D31" s="149" t="s">
        <v>325</v>
      </c>
      <c r="E31" s="135" t="s">
        <v>234</v>
      </c>
      <c r="F31" s="136" t="s">
        <v>131</v>
      </c>
      <c r="G31" s="136">
        <v>1</v>
      </c>
      <c r="H31" s="118">
        <f>69959.4666666667+132.07</f>
        <v>70091.536666666711</v>
      </c>
      <c r="I31" s="118">
        <v>0</v>
      </c>
      <c r="J31" s="118">
        <v>0</v>
      </c>
      <c r="K31" s="118">
        <v>0</v>
      </c>
      <c r="L31" s="118">
        <v>0</v>
      </c>
      <c r="M31" s="118">
        <v>0</v>
      </c>
      <c r="N31" s="118">
        <v>0</v>
      </c>
      <c r="O31" s="118">
        <v>0</v>
      </c>
      <c r="P31" s="118">
        <v>0</v>
      </c>
      <c r="Q31" s="118">
        <v>0</v>
      </c>
      <c r="R31" s="118">
        <v>0</v>
      </c>
      <c r="S31" s="118">
        <v>0</v>
      </c>
      <c r="T31" s="118">
        <f t="shared" si="3"/>
        <v>70091.536666666711</v>
      </c>
      <c r="U31" s="352">
        <f t="shared" si="1"/>
        <v>70091.536666666711</v>
      </c>
      <c r="V31" s="122"/>
    </row>
    <row r="32" spans="1:22" ht="57" customHeight="1" x14ac:dyDescent="0.2">
      <c r="A32" s="985" t="s">
        <v>1249</v>
      </c>
      <c r="B32" s="1051" t="s">
        <v>1252</v>
      </c>
      <c r="C32" s="106" t="s">
        <v>486</v>
      </c>
      <c r="D32" s="353" t="s">
        <v>239</v>
      </c>
      <c r="E32" s="133" t="s">
        <v>238</v>
      </c>
      <c r="F32" s="133" t="s">
        <v>322</v>
      </c>
      <c r="G32" s="292">
        <v>25</v>
      </c>
      <c r="H32" s="110">
        <v>200</v>
      </c>
      <c r="I32" s="108">
        <v>0</v>
      </c>
      <c r="J32" s="108">
        <v>0</v>
      </c>
      <c r="K32" s="108">
        <f>+H32*G32</f>
        <v>5000</v>
      </c>
      <c r="L32" s="108">
        <v>0</v>
      </c>
      <c r="M32" s="108">
        <v>0</v>
      </c>
      <c r="N32" s="108">
        <f>+H32*G32</f>
        <v>5000</v>
      </c>
      <c r="O32" s="108">
        <v>0</v>
      </c>
      <c r="P32" s="108">
        <v>0</v>
      </c>
      <c r="Q32" s="108">
        <f>+H32*G32</f>
        <v>5000</v>
      </c>
      <c r="R32" s="108">
        <v>0</v>
      </c>
      <c r="S32" s="108">
        <v>0</v>
      </c>
      <c r="T32" s="108">
        <f>+G32*H32</f>
        <v>5000</v>
      </c>
      <c r="U32" s="533">
        <f t="shared" si="1"/>
        <v>20000</v>
      </c>
      <c r="V32" s="111"/>
    </row>
    <row r="33" spans="1:22" ht="36.75" customHeight="1" x14ac:dyDescent="0.2">
      <c r="A33" s="986"/>
      <c r="B33" s="1052"/>
      <c r="C33" s="104" t="s">
        <v>50</v>
      </c>
      <c r="D33" s="353" t="s">
        <v>326</v>
      </c>
      <c r="E33" s="133" t="s">
        <v>327</v>
      </c>
      <c r="F33" s="133" t="s">
        <v>322</v>
      </c>
      <c r="G33" s="292">
        <v>5</v>
      </c>
      <c r="H33" s="110">
        <v>500</v>
      </c>
      <c r="I33" s="108">
        <v>0</v>
      </c>
      <c r="J33" s="108">
        <v>0</v>
      </c>
      <c r="K33" s="108">
        <f>+H33*G33</f>
        <v>2500</v>
      </c>
      <c r="L33" s="108">
        <v>0</v>
      </c>
      <c r="M33" s="108">
        <v>0</v>
      </c>
      <c r="N33" s="108">
        <f>+H33*G33</f>
        <v>2500</v>
      </c>
      <c r="O33" s="108">
        <v>0</v>
      </c>
      <c r="P33" s="108">
        <v>0</v>
      </c>
      <c r="Q33" s="108">
        <f>+H33*G33</f>
        <v>2500</v>
      </c>
      <c r="R33" s="108">
        <v>0</v>
      </c>
      <c r="S33" s="108">
        <v>0</v>
      </c>
      <c r="T33" s="108">
        <f t="shared" si="3"/>
        <v>2500</v>
      </c>
      <c r="U33" s="533">
        <f>SUM(I33:T33)</f>
        <v>10000</v>
      </c>
      <c r="V33" s="111"/>
    </row>
    <row r="34" spans="1:22" ht="59.25" customHeight="1" x14ac:dyDescent="0.2">
      <c r="A34" s="986"/>
      <c r="B34" s="1052"/>
      <c r="C34" s="106" t="s">
        <v>486</v>
      </c>
      <c r="D34" s="353" t="s">
        <v>328</v>
      </c>
      <c r="E34" s="133" t="s">
        <v>143</v>
      </c>
      <c r="F34" s="133" t="s">
        <v>131</v>
      </c>
      <c r="G34" s="292">
        <v>4</v>
      </c>
      <c r="H34" s="110">
        <v>2000</v>
      </c>
      <c r="I34" s="108">
        <v>0</v>
      </c>
      <c r="J34" s="108">
        <v>0</v>
      </c>
      <c r="K34" s="108">
        <f>+H34*1</f>
        <v>2000</v>
      </c>
      <c r="L34" s="108">
        <v>0</v>
      </c>
      <c r="M34" s="108">
        <v>0</v>
      </c>
      <c r="N34" s="108">
        <f>+H34*1</f>
        <v>2000</v>
      </c>
      <c r="O34" s="108">
        <v>0</v>
      </c>
      <c r="P34" s="108">
        <v>0</v>
      </c>
      <c r="Q34" s="108">
        <f>+H34*1</f>
        <v>2000</v>
      </c>
      <c r="R34" s="108">
        <v>0</v>
      </c>
      <c r="S34" s="108">
        <v>0</v>
      </c>
      <c r="T34" s="108">
        <f>+H34*1</f>
        <v>2000</v>
      </c>
      <c r="U34" s="533">
        <f t="shared" si="1"/>
        <v>8000</v>
      </c>
      <c r="V34" s="111"/>
    </row>
    <row r="35" spans="1:22" ht="39" customHeight="1" x14ac:dyDescent="0.2">
      <c r="A35" s="986"/>
      <c r="B35" s="1051" t="s">
        <v>1255</v>
      </c>
      <c r="C35" s="104" t="s">
        <v>50</v>
      </c>
      <c r="D35" s="353" t="s">
        <v>326</v>
      </c>
      <c r="E35" s="133" t="s">
        <v>327</v>
      </c>
      <c r="F35" s="133" t="s">
        <v>322</v>
      </c>
      <c r="G35" s="292">
        <v>2</v>
      </c>
      <c r="H35" s="110">
        <v>1000</v>
      </c>
      <c r="I35" s="108">
        <v>0</v>
      </c>
      <c r="J35" s="108">
        <v>0</v>
      </c>
      <c r="K35" s="108">
        <v>0</v>
      </c>
      <c r="L35" s="108">
        <v>0</v>
      </c>
      <c r="M35" s="108">
        <v>0</v>
      </c>
      <c r="N35" s="108">
        <v>0</v>
      </c>
      <c r="O35" s="108">
        <v>0</v>
      </c>
      <c r="P35" s="354">
        <f>+G35*H35</f>
        <v>2000</v>
      </c>
      <c r="Q35" s="108">
        <v>0</v>
      </c>
      <c r="R35" s="108">
        <v>0</v>
      </c>
      <c r="S35" s="108">
        <v>0</v>
      </c>
      <c r="T35" s="108">
        <v>0</v>
      </c>
      <c r="U35" s="533">
        <f>SUM(I35:T35)</f>
        <v>2000</v>
      </c>
      <c r="V35" s="111"/>
    </row>
    <row r="36" spans="1:22" ht="63.75" customHeight="1" x14ac:dyDescent="0.2">
      <c r="A36" s="986"/>
      <c r="B36" s="1052"/>
      <c r="C36" s="106" t="s">
        <v>486</v>
      </c>
      <c r="D36" s="353" t="s">
        <v>239</v>
      </c>
      <c r="E36" s="133" t="s">
        <v>238</v>
      </c>
      <c r="F36" s="133" t="s">
        <v>322</v>
      </c>
      <c r="G36" s="292">
        <v>30</v>
      </c>
      <c r="H36" s="110">
        <v>300</v>
      </c>
      <c r="I36" s="108">
        <v>0</v>
      </c>
      <c r="J36" s="108">
        <v>0</v>
      </c>
      <c r="K36" s="108">
        <v>0</v>
      </c>
      <c r="L36" s="108">
        <v>0</v>
      </c>
      <c r="M36" s="108">
        <v>0</v>
      </c>
      <c r="N36" s="108">
        <v>0</v>
      </c>
      <c r="O36" s="108">
        <v>0</v>
      </c>
      <c r="P36" s="354">
        <f>+G36*H36</f>
        <v>9000</v>
      </c>
      <c r="Q36" s="108">
        <v>0</v>
      </c>
      <c r="R36" s="108">
        <v>0</v>
      </c>
      <c r="S36" s="108">
        <v>0</v>
      </c>
      <c r="T36" s="108">
        <v>0</v>
      </c>
      <c r="U36" s="533">
        <f t="shared" si="1"/>
        <v>9000</v>
      </c>
      <c r="V36" s="111"/>
    </row>
    <row r="37" spans="1:22" ht="45" x14ac:dyDescent="0.2">
      <c r="A37" s="997"/>
      <c r="B37" s="1053"/>
      <c r="C37" s="106" t="s">
        <v>486</v>
      </c>
      <c r="D37" s="355" t="s">
        <v>329</v>
      </c>
      <c r="E37" s="133" t="s">
        <v>234</v>
      </c>
      <c r="F37" s="107" t="s">
        <v>131</v>
      </c>
      <c r="G37" s="292">
        <v>1</v>
      </c>
      <c r="H37" s="110">
        <v>50000</v>
      </c>
      <c r="I37" s="108">
        <v>0</v>
      </c>
      <c r="J37" s="108">
        <v>0</v>
      </c>
      <c r="K37" s="108">
        <v>0</v>
      </c>
      <c r="L37" s="108">
        <v>0</v>
      </c>
      <c r="M37" s="108">
        <v>0</v>
      </c>
      <c r="N37" s="108">
        <v>0</v>
      </c>
      <c r="O37" s="108">
        <v>0</v>
      </c>
      <c r="P37" s="354">
        <f>+H37*G37</f>
        <v>50000</v>
      </c>
      <c r="Q37" s="108">
        <v>0</v>
      </c>
      <c r="R37" s="108">
        <v>0</v>
      </c>
      <c r="S37" s="108">
        <v>0</v>
      </c>
      <c r="T37" s="108">
        <v>0</v>
      </c>
      <c r="U37" s="533">
        <f t="shared" si="1"/>
        <v>50000</v>
      </c>
      <c r="V37" s="111"/>
    </row>
    <row r="38" spans="1:22" ht="15" x14ac:dyDescent="0.2">
      <c r="A38" s="855" t="s">
        <v>281</v>
      </c>
      <c r="B38" s="855"/>
      <c r="C38" s="855"/>
      <c r="D38" s="855"/>
      <c r="E38" s="855"/>
      <c r="F38" s="855"/>
      <c r="G38" s="855"/>
      <c r="H38" s="123"/>
      <c r="I38" s="123">
        <f t="shared" ref="I38:U38" si="4">+SUM(I20:I37)</f>
        <v>0</v>
      </c>
      <c r="J38" s="123">
        <f t="shared" si="4"/>
        <v>0</v>
      </c>
      <c r="K38" s="123">
        <f t="shared" si="4"/>
        <v>9500</v>
      </c>
      <c r="L38" s="123">
        <f t="shared" si="4"/>
        <v>0</v>
      </c>
      <c r="M38" s="123">
        <f t="shared" si="4"/>
        <v>0</v>
      </c>
      <c r="N38" s="123">
        <f t="shared" si="4"/>
        <v>9500</v>
      </c>
      <c r="O38" s="123">
        <f t="shared" si="4"/>
        <v>86233</v>
      </c>
      <c r="P38" s="123">
        <f t="shared" si="4"/>
        <v>61000</v>
      </c>
      <c r="Q38" s="123">
        <f t="shared" si="4"/>
        <v>9500</v>
      </c>
      <c r="R38" s="123">
        <f t="shared" si="4"/>
        <v>0</v>
      </c>
      <c r="S38" s="123">
        <f t="shared" si="4"/>
        <v>108442.46666666667</v>
      </c>
      <c r="T38" s="123">
        <f t="shared" si="4"/>
        <v>115824.53666666671</v>
      </c>
      <c r="U38" s="123">
        <f t="shared" si="4"/>
        <v>400000.00333333341</v>
      </c>
      <c r="V38" s="124"/>
    </row>
    <row r="39" spans="1:22" ht="15" x14ac:dyDescent="0.2">
      <c r="A39" s="101"/>
      <c r="B39" s="102"/>
      <c r="C39" s="101"/>
      <c r="D39" s="101"/>
      <c r="E39" s="101"/>
      <c r="F39" s="101"/>
      <c r="G39" s="101"/>
      <c r="H39" s="103"/>
      <c r="I39" s="101"/>
      <c r="J39" s="101"/>
      <c r="K39" s="101"/>
      <c r="L39" s="101"/>
      <c r="M39" s="101"/>
      <c r="N39" s="101"/>
      <c r="O39" s="101"/>
      <c r="P39" s="101"/>
      <c r="Q39" s="101"/>
      <c r="R39" s="101"/>
      <c r="S39" s="101"/>
      <c r="T39" s="101"/>
      <c r="U39" s="101"/>
      <c r="V39" s="101"/>
    </row>
    <row r="40" spans="1:22" ht="15" x14ac:dyDescent="0.2">
      <c r="A40" s="101"/>
      <c r="B40" s="102"/>
      <c r="C40" s="101"/>
      <c r="D40" s="101"/>
      <c r="E40" s="101"/>
      <c r="F40" s="101"/>
      <c r="G40" s="101"/>
      <c r="H40" s="103"/>
      <c r="I40" s="101"/>
      <c r="J40" s="101"/>
      <c r="K40" s="101"/>
      <c r="L40" s="101"/>
      <c r="M40" s="101"/>
      <c r="N40" s="101"/>
      <c r="O40" s="101"/>
      <c r="P40" s="101"/>
      <c r="Q40" s="101"/>
      <c r="R40" s="101"/>
      <c r="S40" s="101"/>
      <c r="T40" s="101"/>
      <c r="U40" s="101"/>
      <c r="V40" s="101"/>
    </row>
    <row r="41" spans="1:22" ht="15" x14ac:dyDescent="0.2">
      <c r="A41" s="101"/>
      <c r="B41" s="102"/>
      <c r="C41" s="101"/>
      <c r="D41" s="101"/>
      <c r="E41" s="101"/>
      <c r="F41" s="101"/>
      <c r="G41" s="101"/>
      <c r="H41" s="103"/>
      <c r="I41" s="101"/>
      <c r="J41" s="101"/>
      <c r="K41" s="101"/>
      <c r="L41" s="101"/>
      <c r="M41" s="101"/>
      <c r="N41" s="101"/>
      <c r="O41" s="101"/>
      <c r="P41" s="101"/>
      <c r="Q41" s="101"/>
      <c r="R41" s="101"/>
      <c r="S41" s="101"/>
      <c r="T41" s="101"/>
      <c r="U41" s="479"/>
      <c r="V41" s="101"/>
    </row>
    <row r="42" spans="1:22" ht="15" x14ac:dyDescent="0.2">
      <c r="A42" s="101"/>
      <c r="B42" s="102"/>
      <c r="C42" s="101"/>
      <c r="D42" s="101"/>
      <c r="E42" s="101"/>
      <c r="F42" s="101"/>
      <c r="G42" s="101"/>
      <c r="H42" s="103"/>
      <c r="I42" s="101"/>
      <c r="J42" s="101"/>
      <c r="K42" s="101"/>
      <c r="L42" s="101"/>
      <c r="M42" s="101"/>
      <c r="N42" s="101"/>
      <c r="O42" s="101"/>
      <c r="P42" s="101"/>
      <c r="Q42" s="101"/>
      <c r="R42" s="101"/>
      <c r="S42" s="101"/>
      <c r="T42" s="101"/>
      <c r="U42" s="101"/>
      <c r="V42" s="101"/>
    </row>
    <row r="43" spans="1:22" ht="15" x14ac:dyDescent="0.2">
      <c r="A43" s="101"/>
      <c r="B43" s="102"/>
      <c r="C43" s="101"/>
      <c r="D43" s="101"/>
      <c r="E43" s="101"/>
      <c r="F43" s="101"/>
      <c r="G43" s="101"/>
      <c r="H43" s="103"/>
      <c r="I43" s="101"/>
      <c r="J43" s="101"/>
      <c r="K43" s="101"/>
      <c r="L43" s="101"/>
      <c r="M43" s="101"/>
      <c r="N43" s="101"/>
      <c r="O43" s="101"/>
      <c r="P43" s="101"/>
      <c r="Q43" s="101"/>
      <c r="R43" s="101"/>
      <c r="S43" s="101"/>
      <c r="T43" s="101"/>
      <c r="U43" s="101"/>
      <c r="V43" s="101"/>
    </row>
    <row r="44" spans="1:22" ht="15" x14ac:dyDescent="0.2">
      <c r="A44" s="101"/>
      <c r="B44" s="102"/>
      <c r="C44" s="101"/>
      <c r="D44" s="101"/>
      <c r="E44" s="101"/>
      <c r="F44" s="101"/>
      <c r="G44" s="101"/>
      <c r="H44" s="103"/>
      <c r="I44" s="101"/>
      <c r="J44" s="101"/>
      <c r="K44" s="101"/>
      <c r="L44" s="101"/>
      <c r="M44" s="101"/>
      <c r="N44" s="101"/>
      <c r="O44" s="101"/>
      <c r="P44" s="101"/>
      <c r="Q44" s="101"/>
      <c r="R44" s="101"/>
      <c r="S44" s="101"/>
      <c r="T44" s="101"/>
      <c r="U44" s="101"/>
      <c r="V44" s="101"/>
    </row>
    <row r="45" spans="1:22" ht="15" x14ac:dyDescent="0.2">
      <c r="A45" s="101"/>
      <c r="B45" s="102"/>
      <c r="C45" s="101"/>
      <c r="D45" s="101"/>
      <c r="E45" s="101"/>
      <c r="F45" s="101"/>
      <c r="G45" s="101"/>
      <c r="H45" s="103"/>
      <c r="I45" s="101"/>
      <c r="J45" s="101"/>
      <c r="K45" s="101"/>
      <c r="L45" s="101"/>
      <c r="M45" s="101"/>
      <c r="N45" s="101"/>
      <c r="O45" s="101"/>
      <c r="P45" s="101"/>
      <c r="Q45" s="101"/>
      <c r="R45" s="101"/>
      <c r="S45" s="101"/>
      <c r="T45" s="101"/>
      <c r="U45" s="101"/>
      <c r="V45" s="101"/>
    </row>
    <row r="46" spans="1:22" ht="15" x14ac:dyDescent="0.2">
      <c r="A46" s="101"/>
      <c r="B46" s="102"/>
      <c r="C46" s="101"/>
      <c r="D46" s="101"/>
      <c r="E46" s="101"/>
      <c r="F46" s="101"/>
      <c r="G46" s="101"/>
      <c r="H46" s="103"/>
      <c r="I46" s="101"/>
      <c r="J46" s="101"/>
      <c r="K46" s="101"/>
      <c r="L46" s="101"/>
      <c r="M46" s="101"/>
      <c r="N46" s="101"/>
      <c r="O46" s="101"/>
      <c r="P46" s="101"/>
      <c r="Q46" s="101"/>
      <c r="R46" s="101"/>
      <c r="S46" s="101"/>
      <c r="T46" s="101"/>
      <c r="U46" s="101"/>
      <c r="V46" s="101"/>
    </row>
    <row r="47" spans="1:22" ht="15" x14ac:dyDescent="0.2">
      <c r="A47" s="101"/>
      <c r="B47" s="102"/>
      <c r="C47" s="101"/>
      <c r="D47" s="101"/>
      <c r="E47" s="101"/>
      <c r="F47" s="101"/>
      <c r="G47" s="101"/>
      <c r="H47" s="103"/>
      <c r="I47" s="101"/>
      <c r="J47" s="854" t="s">
        <v>536</v>
      </c>
      <c r="K47" s="854"/>
      <c r="L47" s="854"/>
      <c r="M47" s="854"/>
      <c r="N47" s="151"/>
      <c r="O47" s="151"/>
      <c r="P47" s="151"/>
      <c r="Q47" s="101"/>
      <c r="R47" s="101"/>
      <c r="S47" s="854" t="s">
        <v>537</v>
      </c>
      <c r="T47" s="854"/>
      <c r="U47" s="854"/>
      <c r="V47" s="101"/>
    </row>
    <row r="48" spans="1:22" ht="15" x14ac:dyDescent="0.2">
      <c r="A48" s="101"/>
      <c r="B48" s="102"/>
      <c r="C48" s="101"/>
      <c r="D48" s="101"/>
      <c r="E48" s="101"/>
      <c r="F48" s="101"/>
      <c r="G48" s="101"/>
      <c r="H48" s="103"/>
      <c r="I48" s="101"/>
      <c r="J48" s="851" t="s">
        <v>546</v>
      </c>
      <c r="K48" s="851"/>
      <c r="L48" s="851"/>
      <c r="M48" s="851"/>
      <c r="N48" s="101"/>
      <c r="O48" s="101"/>
      <c r="P48" s="101"/>
      <c r="Q48" s="101"/>
      <c r="R48" s="101"/>
      <c r="S48" s="851" t="s">
        <v>538</v>
      </c>
      <c r="T48" s="851"/>
      <c r="U48" s="851"/>
      <c r="V48" s="101"/>
    </row>
    <row r="49" spans="1:22" ht="15" x14ac:dyDescent="0.2">
      <c r="A49" s="101"/>
      <c r="B49" s="102"/>
      <c r="C49" s="101"/>
      <c r="D49" s="101"/>
      <c r="E49" s="101"/>
      <c r="F49" s="101"/>
      <c r="G49" s="101"/>
      <c r="H49" s="103"/>
      <c r="I49" s="101"/>
      <c r="J49" s="101"/>
      <c r="K49" s="101"/>
      <c r="L49" s="101"/>
      <c r="M49" s="101"/>
      <c r="N49" s="101"/>
      <c r="O49" s="101"/>
      <c r="P49" s="101"/>
      <c r="Q49" s="101"/>
      <c r="R49" s="101"/>
      <c r="S49" s="101"/>
      <c r="T49" s="101"/>
      <c r="U49" s="101"/>
      <c r="V49" s="101"/>
    </row>
    <row r="50" spans="1:22" ht="15" x14ac:dyDescent="0.2">
      <c r="A50" s="101"/>
      <c r="B50" s="102"/>
      <c r="C50" s="101"/>
      <c r="D50" s="101"/>
      <c r="E50" s="101"/>
      <c r="F50" s="101"/>
      <c r="G50" s="101"/>
      <c r="H50" s="103"/>
      <c r="I50" s="101"/>
      <c r="J50" s="101"/>
      <c r="K50" s="101"/>
      <c r="L50" s="101"/>
      <c r="M50" s="101"/>
      <c r="N50" s="101"/>
      <c r="O50" s="101"/>
      <c r="P50" s="101"/>
      <c r="Q50" s="101"/>
      <c r="R50" s="101"/>
      <c r="S50" s="101"/>
      <c r="T50" s="101"/>
      <c r="U50" s="101"/>
      <c r="V50" s="101"/>
    </row>
  </sheetData>
  <mergeCells count="33">
    <mergeCell ref="B24:B27"/>
    <mergeCell ref="A20:A27"/>
    <mergeCell ref="B16:V16"/>
    <mergeCell ref="A10:V10"/>
    <mergeCell ref="A11:V11"/>
    <mergeCell ref="A12:V12"/>
    <mergeCell ref="B14:V14"/>
    <mergeCell ref="B15:V15"/>
    <mergeCell ref="U18:U19"/>
    <mergeCell ref="V18:V19"/>
    <mergeCell ref="B20:B23"/>
    <mergeCell ref="G18:G19"/>
    <mergeCell ref="H18:H19"/>
    <mergeCell ref="I18:K18"/>
    <mergeCell ref="L18:N18"/>
    <mergeCell ref="O18:Q18"/>
    <mergeCell ref="R18:T18"/>
    <mergeCell ref="A18:A19"/>
    <mergeCell ref="B18:B19"/>
    <mergeCell ref="C18:C19"/>
    <mergeCell ref="D18:D19"/>
    <mergeCell ref="E18:E19"/>
    <mergeCell ref="F18:F19"/>
    <mergeCell ref="A28:A31"/>
    <mergeCell ref="B28:B31"/>
    <mergeCell ref="A32:A37"/>
    <mergeCell ref="B32:B34"/>
    <mergeCell ref="B35:B37"/>
    <mergeCell ref="J47:M47"/>
    <mergeCell ref="S47:U47"/>
    <mergeCell ref="S48:U48"/>
    <mergeCell ref="J48:M48"/>
    <mergeCell ref="A38:G38"/>
  </mergeCells>
  <pageMargins left="0.23622047244094491" right="0.23622047244094491" top="0.39370078740157483" bottom="0.39370078740157483" header="0.31496062992125984" footer="0.31496062992125984"/>
  <pageSetup paperSize="5" scale="37" fitToHeight="0" orientation="landscape" r:id="rId1"/>
  <headerFooter>
    <oddFooter>&amp;CPágina &amp;P de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4B84B-BEB5-40DF-BE31-EC39D4B7DE88}">
  <sheetPr>
    <pageSetUpPr fitToPage="1"/>
  </sheetPr>
  <dimension ref="A12:AE51"/>
  <sheetViews>
    <sheetView workbookViewId="0"/>
  </sheetViews>
  <sheetFormatPr defaultColWidth="11.42578125" defaultRowHeight="14.25" x14ac:dyDescent="0.2"/>
  <cols>
    <col min="1" max="1" width="42.140625" style="30" customWidth="1"/>
    <col min="2" max="2" width="36.28515625" style="26" customWidth="1"/>
    <col min="3" max="3" width="36.85546875" style="30" customWidth="1"/>
    <col min="4" max="4" width="16.42578125" style="26" customWidth="1"/>
    <col min="5" max="5" width="17.28515625" style="26" customWidth="1"/>
    <col min="6" max="6" width="40.85546875" style="30" customWidth="1"/>
    <col min="7" max="7" width="10.28515625" style="26" customWidth="1"/>
    <col min="8" max="8" width="12.7109375" style="26" customWidth="1"/>
    <col min="9" max="9" width="12.5703125" style="26" customWidth="1"/>
    <col min="10" max="10" width="13.140625" style="26" customWidth="1"/>
    <col min="11" max="11" width="11.28515625" style="26" customWidth="1"/>
    <col min="12" max="12" width="9.7109375" style="26" customWidth="1"/>
    <col min="13" max="13" width="12" style="26" customWidth="1"/>
    <col min="14" max="14" width="17" style="26" customWidth="1"/>
    <col min="15" max="18" width="22.140625" style="26" customWidth="1"/>
    <col min="19" max="19" width="27" style="26" customWidth="1"/>
    <col min="20" max="20" width="32.42578125" style="26" customWidth="1"/>
    <col min="21" max="21" width="58" style="26" customWidth="1"/>
    <col min="22" max="22" width="46.28515625" style="26" customWidth="1"/>
    <col min="23" max="16384" width="11.42578125" style="26"/>
  </cols>
  <sheetData>
    <row r="12" spans="1:21" ht="19.5" x14ac:dyDescent="0.25">
      <c r="A12" s="1061" t="s">
        <v>0</v>
      </c>
      <c r="B12" s="1061"/>
      <c r="C12" s="1061"/>
      <c r="D12" s="1061"/>
      <c r="E12" s="1061"/>
      <c r="F12" s="1061"/>
      <c r="G12" s="1061"/>
      <c r="H12" s="1061"/>
      <c r="I12" s="1061"/>
      <c r="J12" s="1061"/>
      <c r="K12" s="1061"/>
      <c r="L12" s="1061"/>
      <c r="M12" s="1061"/>
      <c r="N12" s="1061"/>
      <c r="O12" s="1061"/>
      <c r="P12" s="1061"/>
      <c r="Q12" s="1061"/>
      <c r="R12" s="1061"/>
      <c r="S12" s="1061"/>
      <c r="T12" s="1061"/>
      <c r="U12" s="1061"/>
    </row>
    <row r="13" spans="1:21" ht="19.5" x14ac:dyDescent="0.25">
      <c r="A13" s="1061" t="s">
        <v>1</v>
      </c>
      <c r="B13" s="1061"/>
      <c r="C13" s="1061"/>
      <c r="D13" s="1061"/>
      <c r="E13" s="1061"/>
      <c r="F13" s="1061"/>
      <c r="G13" s="1061"/>
      <c r="H13" s="1061"/>
      <c r="I13" s="1061"/>
      <c r="J13" s="1061"/>
      <c r="K13" s="1061"/>
      <c r="L13" s="1061"/>
      <c r="M13" s="1061"/>
      <c r="N13" s="1061"/>
      <c r="O13" s="1061"/>
      <c r="P13" s="1061"/>
      <c r="Q13" s="1061"/>
      <c r="R13" s="1061"/>
      <c r="S13" s="1061"/>
      <c r="T13" s="1061"/>
      <c r="U13" s="1061"/>
    </row>
    <row r="14" spans="1:21" ht="19.5" x14ac:dyDescent="0.25">
      <c r="A14" s="27"/>
      <c r="B14" s="25"/>
      <c r="C14" s="27"/>
      <c r="D14" s="25"/>
      <c r="E14" s="25"/>
      <c r="F14" s="27"/>
      <c r="G14" s="25"/>
      <c r="H14" s="25"/>
      <c r="I14" s="25"/>
      <c r="J14" s="25"/>
      <c r="K14" s="25"/>
      <c r="L14" s="25"/>
      <c r="M14" s="25"/>
      <c r="N14" s="25"/>
      <c r="O14" s="25"/>
      <c r="P14" s="25"/>
      <c r="Q14" s="25"/>
      <c r="R14" s="25"/>
      <c r="S14" s="25"/>
      <c r="T14" s="25"/>
    </row>
    <row r="15" spans="1:21" ht="15" x14ac:dyDescent="0.2">
      <c r="A15" s="300" t="s">
        <v>2</v>
      </c>
      <c r="B15" s="1062" t="s">
        <v>645</v>
      </c>
      <c r="C15" s="1062"/>
      <c r="D15" s="1062"/>
      <c r="E15" s="1062"/>
      <c r="F15" s="1062"/>
      <c r="G15" s="1062"/>
      <c r="H15" s="1062"/>
      <c r="I15" s="1062"/>
      <c r="J15" s="1062"/>
      <c r="K15" s="1062"/>
      <c r="L15" s="1062"/>
      <c r="M15" s="1062"/>
      <c r="N15" s="1062"/>
      <c r="O15" s="1062"/>
      <c r="P15" s="1062"/>
      <c r="Q15" s="1062"/>
      <c r="R15" s="1062"/>
      <c r="S15" s="1062"/>
      <c r="T15" s="1062"/>
      <c r="U15" s="1062"/>
    </row>
    <row r="16" spans="1:21" ht="15" x14ac:dyDescent="0.2">
      <c r="A16" s="300" t="s">
        <v>3</v>
      </c>
      <c r="B16" s="1062" t="s">
        <v>646</v>
      </c>
      <c r="C16" s="1062"/>
      <c r="D16" s="1062"/>
      <c r="E16" s="1062"/>
      <c r="F16" s="1062"/>
      <c r="G16" s="1062"/>
      <c r="H16" s="1062"/>
      <c r="I16" s="1062"/>
      <c r="J16" s="1062"/>
      <c r="K16" s="1062"/>
      <c r="L16" s="1062"/>
      <c r="M16" s="1062"/>
      <c r="N16" s="1062"/>
      <c r="O16" s="1062"/>
      <c r="P16" s="1062"/>
      <c r="Q16" s="1062"/>
      <c r="R16" s="1062"/>
      <c r="S16" s="1062"/>
      <c r="T16" s="1062"/>
      <c r="U16" s="1062"/>
    </row>
    <row r="17" spans="1:22" ht="15" x14ac:dyDescent="0.2">
      <c r="A17" s="300" t="s">
        <v>5</v>
      </c>
      <c r="B17" s="1062" t="s">
        <v>647</v>
      </c>
      <c r="C17" s="1062"/>
      <c r="D17" s="1062"/>
      <c r="E17" s="1062"/>
      <c r="F17" s="1062"/>
      <c r="G17" s="1062"/>
      <c r="H17" s="1062"/>
      <c r="I17" s="1062"/>
      <c r="J17" s="1062"/>
      <c r="K17" s="1062"/>
      <c r="L17" s="1062"/>
      <c r="M17" s="1062"/>
      <c r="N17" s="1062"/>
      <c r="O17" s="1062"/>
      <c r="P17" s="1062"/>
      <c r="Q17" s="1062"/>
      <c r="R17" s="1062"/>
      <c r="S17" s="1062"/>
      <c r="T17" s="1062"/>
      <c r="U17" s="1062"/>
    </row>
    <row r="18" spans="1:22" ht="15" x14ac:dyDescent="0.2">
      <c r="A18" s="301"/>
      <c r="B18" s="33"/>
      <c r="C18" s="301"/>
      <c r="D18" s="33"/>
      <c r="E18" s="33"/>
      <c r="F18" s="301"/>
      <c r="G18" s="33"/>
      <c r="H18" s="33"/>
      <c r="I18" s="33"/>
      <c r="J18" s="33"/>
      <c r="K18" s="33"/>
      <c r="L18" s="33"/>
      <c r="M18" s="33"/>
      <c r="N18" s="33"/>
      <c r="O18" s="33"/>
      <c r="P18" s="33"/>
      <c r="Q18" s="33"/>
      <c r="R18" s="33"/>
      <c r="S18" s="33"/>
      <c r="T18" s="33"/>
    </row>
    <row r="19" spans="1:22" ht="14.25" customHeight="1" x14ac:dyDescent="0.2">
      <c r="A19" s="1059" t="s">
        <v>6</v>
      </c>
      <c r="B19" s="1059" t="s">
        <v>7</v>
      </c>
      <c r="C19" s="1059" t="s">
        <v>8</v>
      </c>
      <c r="D19" s="1060" t="s">
        <v>9</v>
      </c>
      <c r="E19" s="1060"/>
      <c r="F19" s="1059" t="s">
        <v>10</v>
      </c>
      <c r="G19" s="1073" t="s">
        <v>11</v>
      </c>
      <c r="H19" s="1073"/>
      <c r="I19" s="1073"/>
      <c r="J19" s="1073" t="s">
        <v>12</v>
      </c>
      <c r="K19" s="1073"/>
      <c r="L19" s="1073"/>
      <c r="M19" s="1073" t="s">
        <v>13</v>
      </c>
      <c r="N19" s="1073"/>
      <c r="O19" s="1073"/>
      <c r="P19" s="1073" t="s">
        <v>14</v>
      </c>
      <c r="Q19" s="1073"/>
      <c r="R19" s="1073"/>
      <c r="S19" s="1059" t="s">
        <v>15</v>
      </c>
      <c r="T19" s="1059" t="s">
        <v>16</v>
      </c>
      <c r="U19" s="845" t="s">
        <v>232</v>
      </c>
    </row>
    <row r="20" spans="1:22" s="28" customFormat="1" ht="30" x14ac:dyDescent="0.25">
      <c r="A20" s="1059"/>
      <c r="B20" s="1059"/>
      <c r="C20" s="1059"/>
      <c r="D20" s="299" t="s">
        <v>17</v>
      </c>
      <c r="E20" s="299" t="s">
        <v>18</v>
      </c>
      <c r="F20" s="1059"/>
      <c r="G20" s="302" t="s">
        <v>19</v>
      </c>
      <c r="H20" s="302" t="s">
        <v>20</v>
      </c>
      <c r="I20" s="302" t="s">
        <v>21</v>
      </c>
      <c r="J20" s="302" t="s">
        <v>22</v>
      </c>
      <c r="K20" s="302" t="s">
        <v>23</v>
      </c>
      <c r="L20" s="302" t="s">
        <v>24</v>
      </c>
      <c r="M20" s="302" t="s">
        <v>25</v>
      </c>
      <c r="N20" s="302" t="s">
        <v>26</v>
      </c>
      <c r="O20" s="302" t="s">
        <v>27</v>
      </c>
      <c r="P20" s="302" t="s">
        <v>28</v>
      </c>
      <c r="Q20" s="302" t="s">
        <v>29</v>
      </c>
      <c r="R20" s="302" t="s">
        <v>30</v>
      </c>
      <c r="S20" s="1059"/>
      <c r="T20" s="1059"/>
      <c r="U20" s="845"/>
    </row>
    <row r="21" spans="1:22" ht="90" x14ac:dyDescent="0.2">
      <c r="A21" s="303" t="s">
        <v>1300</v>
      </c>
      <c r="B21" s="304" t="s">
        <v>330</v>
      </c>
      <c r="C21" s="304" t="s">
        <v>331</v>
      </c>
      <c r="D21" s="305" t="s">
        <v>315</v>
      </c>
      <c r="E21" s="306">
        <v>0.5</v>
      </c>
      <c r="F21" s="304" t="s">
        <v>1301</v>
      </c>
      <c r="G21" s="306"/>
      <c r="H21" s="306">
        <v>7.0000000000000007E-2</v>
      </c>
      <c r="I21" s="306">
        <v>7.0000000000000007E-2</v>
      </c>
      <c r="J21" s="306">
        <v>7.0000000000000007E-2</v>
      </c>
      <c r="K21" s="306">
        <v>7.0000000000000007E-2</v>
      </c>
      <c r="L21" s="306">
        <v>7.0000000000000007E-2</v>
      </c>
      <c r="M21" s="306">
        <v>7.0000000000000007E-2</v>
      </c>
      <c r="N21" s="306">
        <v>0.08</v>
      </c>
      <c r="O21" s="306"/>
      <c r="P21" s="306"/>
      <c r="Q21" s="306"/>
      <c r="R21" s="306"/>
      <c r="S21" s="797">
        <f>'Presupuesto TIC '!U26</f>
        <v>11760000</v>
      </c>
      <c r="T21" s="307" t="s">
        <v>1135</v>
      </c>
      <c r="U21" s="307"/>
    </row>
    <row r="22" spans="1:22" ht="90" x14ac:dyDescent="0.2">
      <c r="A22" s="304" t="s">
        <v>1302</v>
      </c>
      <c r="B22" s="304" t="s">
        <v>332</v>
      </c>
      <c r="C22" s="304" t="s">
        <v>333</v>
      </c>
      <c r="D22" s="308" t="s">
        <v>315</v>
      </c>
      <c r="E22" s="306">
        <v>1</v>
      </c>
      <c r="F22" s="304" t="s">
        <v>1303</v>
      </c>
      <c r="G22" s="309"/>
      <c r="H22" s="309">
        <v>0.1</v>
      </c>
      <c r="I22" s="309">
        <v>0.15</v>
      </c>
      <c r="J22" s="309">
        <v>0.15</v>
      </c>
      <c r="K22" s="309">
        <v>0.2</v>
      </c>
      <c r="L22" s="309">
        <v>0.2</v>
      </c>
      <c r="M22" s="309">
        <v>0.2</v>
      </c>
      <c r="N22" s="308"/>
      <c r="O22" s="308"/>
      <c r="P22" s="308"/>
      <c r="Q22" s="308"/>
      <c r="R22" s="308"/>
      <c r="S22" s="798">
        <f>'Presupuesto TIC '!U27</f>
        <v>2800000</v>
      </c>
      <c r="T22" s="308" t="s">
        <v>1135</v>
      </c>
      <c r="U22" s="308"/>
    </row>
    <row r="23" spans="1:22" ht="108.75" customHeight="1" x14ac:dyDescent="0.2">
      <c r="A23" s="310" t="s">
        <v>1304</v>
      </c>
      <c r="B23" s="311" t="s">
        <v>916</v>
      </c>
      <c r="C23" s="311" t="s">
        <v>334</v>
      </c>
      <c r="D23" s="312" t="s">
        <v>315</v>
      </c>
      <c r="E23" s="313">
        <v>1</v>
      </c>
      <c r="F23" s="311" t="s">
        <v>1305</v>
      </c>
      <c r="G23" s="312"/>
      <c r="H23" s="312"/>
      <c r="I23" s="312"/>
      <c r="J23" s="314">
        <v>0.1</v>
      </c>
      <c r="K23" s="314">
        <v>0.15</v>
      </c>
      <c r="L23" s="314">
        <v>0.15</v>
      </c>
      <c r="M23" s="314">
        <v>0.3</v>
      </c>
      <c r="N23" s="314">
        <v>0.3</v>
      </c>
      <c r="O23" s="314"/>
      <c r="P23" s="312"/>
      <c r="Q23" s="312"/>
      <c r="R23" s="312"/>
      <c r="S23" s="799">
        <f>'Presupuesto TIC '!U28</f>
        <v>1680000</v>
      </c>
      <c r="T23" s="312" t="s">
        <v>1135</v>
      </c>
      <c r="U23" s="312"/>
    </row>
    <row r="24" spans="1:22" ht="71.25" customHeight="1" x14ac:dyDescent="0.2">
      <c r="A24" s="1063" t="s">
        <v>1306</v>
      </c>
      <c r="B24" s="304" t="s">
        <v>335</v>
      </c>
      <c r="C24" s="304" t="s">
        <v>336</v>
      </c>
      <c r="D24" s="305" t="s">
        <v>315</v>
      </c>
      <c r="E24" s="315">
        <v>1</v>
      </c>
      <c r="F24" s="304" t="s">
        <v>1307</v>
      </c>
      <c r="G24" s="306"/>
      <c r="H24" s="306">
        <v>0.1</v>
      </c>
      <c r="I24" s="309">
        <v>0.2</v>
      </c>
      <c r="J24" s="309">
        <v>0.2</v>
      </c>
      <c r="K24" s="309">
        <v>0.2</v>
      </c>
      <c r="L24" s="309">
        <v>0.2</v>
      </c>
      <c r="M24" s="309">
        <v>0.1</v>
      </c>
      <c r="N24" s="308"/>
      <c r="O24" s="308"/>
      <c r="P24" s="308"/>
      <c r="Q24" s="308"/>
      <c r="R24" s="308"/>
      <c r="S24" s="1064">
        <f>'Presupuesto TIC '!U29</f>
        <v>1690470</v>
      </c>
      <c r="T24" s="1067" t="s">
        <v>1135</v>
      </c>
      <c r="U24" s="308"/>
    </row>
    <row r="25" spans="1:22" s="365" customFormat="1" ht="58.5" customHeight="1" x14ac:dyDescent="0.25">
      <c r="A25" s="1063"/>
      <c r="B25" s="330" t="s">
        <v>337</v>
      </c>
      <c r="C25" s="330" t="s">
        <v>338</v>
      </c>
      <c r="D25" s="366" t="s">
        <v>315</v>
      </c>
      <c r="E25" s="367">
        <v>1</v>
      </c>
      <c r="F25" s="330" t="s">
        <v>1308</v>
      </c>
      <c r="G25" s="457"/>
      <c r="H25" s="457">
        <v>0.1</v>
      </c>
      <c r="I25" s="332">
        <v>0.2</v>
      </c>
      <c r="J25" s="332">
        <v>0.2</v>
      </c>
      <c r="K25" s="332">
        <v>0.2</v>
      </c>
      <c r="L25" s="332">
        <v>0.2</v>
      </c>
      <c r="M25" s="332">
        <v>0.1</v>
      </c>
      <c r="N25" s="331"/>
      <c r="O25" s="331"/>
      <c r="P25" s="331"/>
      <c r="Q25" s="331"/>
      <c r="R25" s="331"/>
      <c r="S25" s="1065"/>
      <c r="T25" s="1068"/>
      <c r="U25" s="331"/>
    </row>
    <row r="26" spans="1:22" ht="70.5" customHeight="1" x14ac:dyDescent="0.2">
      <c r="A26" s="1063"/>
      <c r="B26" s="304" t="s">
        <v>339</v>
      </c>
      <c r="C26" s="304" t="s">
        <v>340</v>
      </c>
      <c r="D26" s="308" t="s">
        <v>315</v>
      </c>
      <c r="E26" s="317">
        <v>1</v>
      </c>
      <c r="F26" s="304" t="s">
        <v>1309</v>
      </c>
      <c r="G26" s="318"/>
      <c r="H26" s="318"/>
      <c r="I26" s="308"/>
      <c r="J26" s="319">
        <v>0.16</v>
      </c>
      <c r="K26" s="319">
        <v>0.16</v>
      </c>
      <c r="L26" s="320"/>
      <c r="M26" s="319">
        <v>0.17</v>
      </c>
      <c r="N26" s="319">
        <v>0.17</v>
      </c>
      <c r="O26" s="319">
        <v>0.17</v>
      </c>
      <c r="P26" s="319">
        <v>0.17</v>
      </c>
      <c r="Q26" s="308"/>
      <c r="R26" s="308"/>
      <c r="S26" s="1066"/>
      <c r="T26" s="1069"/>
      <c r="U26" s="308"/>
    </row>
    <row r="27" spans="1:22" ht="67.5" customHeight="1" x14ac:dyDescent="0.2">
      <c r="A27" s="1070" t="s">
        <v>1310</v>
      </c>
      <c r="B27" s="321" t="s">
        <v>341</v>
      </c>
      <c r="C27" s="321" t="s">
        <v>342</v>
      </c>
      <c r="D27" s="322" t="s">
        <v>315</v>
      </c>
      <c r="E27" s="322">
        <v>2</v>
      </c>
      <c r="F27" s="321" t="s">
        <v>1311</v>
      </c>
      <c r="G27" s="323"/>
      <c r="H27" s="323"/>
      <c r="I27" s="323"/>
      <c r="J27" s="323"/>
      <c r="K27" s="324">
        <v>0.4</v>
      </c>
      <c r="L27" s="324">
        <v>0.5</v>
      </c>
      <c r="M27" s="324">
        <v>0.1</v>
      </c>
      <c r="N27" s="323"/>
      <c r="O27" s="324"/>
      <c r="P27" s="324">
        <v>0.4</v>
      </c>
      <c r="Q27" s="324">
        <v>0.5</v>
      </c>
      <c r="R27" s="324">
        <v>0.1</v>
      </c>
      <c r="S27" s="1074">
        <f>SUM('Presupuesto TIC '!U30:U76)</f>
        <v>83861763.200000003</v>
      </c>
      <c r="T27" s="325" t="s">
        <v>1132</v>
      </c>
      <c r="U27" s="325"/>
    </row>
    <row r="28" spans="1:22" s="29" customFormat="1" ht="90.75" customHeight="1" x14ac:dyDescent="0.2">
      <c r="A28" s="1071"/>
      <c r="B28" s="336" t="s">
        <v>343</v>
      </c>
      <c r="C28" s="336" t="s">
        <v>344</v>
      </c>
      <c r="D28" s="337" t="s">
        <v>315</v>
      </c>
      <c r="E28" s="342">
        <v>1</v>
      </c>
      <c r="F28" s="336" t="s">
        <v>1312</v>
      </c>
      <c r="G28" s="341"/>
      <c r="H28" s="337"/>
      <c r="I28" s="337"/>
      <c r="J28" s="337"/>
      <c r="K28" s="342">
        <v>0.1</v>
      </c>
      <c r="L28" s="342">
        <v>0.3</v>
      </c>
      <c r="M28" s="342">
        <v>0.6</v>
      </c>
      <c r="N28" s="337"/>
      <c r="O28" s="337"/>
      <c r="P28" s="337"/>
      <c r="Q28" s="337"/>
      <c r="R28" s="337"/>
      <c r="S28" s="1075"/>
      <c r="T28" s="451" t="s">
        <v>1135</v>
      </c>
      <c r="U28" s="451"/>
    </row>
    <row r="29" spans="1:22" s="29" customFormat="1" ht="72" customHeight="1" x14ac:dyDescent="0.2">
      <c r="A29" s="1071"/>
      <c r="B29" s="311" t="s">
        <v>345</v>
      </c>
      <c r="C29" s="311" t="s">
        <v>644</v>
      </c>
      <c r="D29" s="312" t="s">
        <v>315</v>
      </c>
      <c r="E29" s="314">
        <v>1</v>
      </c>
      <c r="F29" s="311" t="s">
        <v>1313</v>
      </c>
      <c r="G29" s="312"/>
      <c r="H29" s="312"/>
      <c r="I29" s="314">
        <v>1</v>
      </c>
      <c r="J29" s="312"/>
      <c r="K29" s="312"/>
      <c r="L29" s="314"/>
      <c r="M29" s="312"/>
      <c r="N29" s="312"/>
      <c r="O29" s="314">
        <v>1</v>
      </c>
      <c r="P29" s="314"/>
      <c r="Q29" s="314"/>
      <c r="R29" s="314"/>
      <c r="S29" s="1075"/>
      <c r="T29" s="310" t="s">
        <v>1133</v>
      </c>
      <c r="U29" s="333"/>
      <c r="V29" s="363"/>
    </row>
    <row r="30" spans="1:22" ht="90" x14ac:dyDescent="0.2">
      <c r="A30" s="1071"/>
      <c r="B30" s="311" t="s">
        <v>347</v>
      </c>
      <c r="C30" s="311" t="s">
        <v>346</v>
      </c>
      <c r="D30" s="312" t="s">
        <v>315</v>
      </c>
      <c r="E30" s="314">
        <v>1</v>
      </c>
      <c r="F30" s="45" t="s">
        <v>1314</v>
      </c>
      <c r="G30" s="312"/>
      <c r="H30" s="312"/>
      <c r="I30" s="314"/>
      <c r="J30" s="312"/>
      <c r="K30" s="312"/>
      <c r="L30" s="314"/>
      <c r="M30" s="312"/>
      <c r="N30" s="314">
        <v>0.1</v>
      </c>
      <c r="O30" s="314"/>
      <c r="P30" s="314">
        <v>0.3</v>
      </c>
      <c r="Q30" s="314">
        <v>0.3</v>
      </c>
      <c r="R30" s="314">
        <v>0.3</v>
      </c>
      <c r="S30" s="1075"/>
      <c r="T30" s="333" t="s">
        <v>1135</v>
      </c>
      <c r="U30" s="333"/>
    </row>
    <row r="31" spans="1:22" s="29" customFormat="1" ht="88.5" customHeight="1" x14ac:dyDescent="0.2">
      <c r="A31" s="1072"/>
      <c r="B31" s="311" t="s">
        <v>348</v>
      </c>
      <c r="C31" s="311" t="s">
        <v>346</v>
      </c>
      <c r="D31" s="312" t="s">
        <v>315</v>
      </c>
      <c r="E31" s="314">
        <v>1</v>
      </c>
      <c r="F31" s="311" t="s">
        <v>1315</v>
      </c>
      <c r="G31" s="312"/>
      <c r="H31" s="312"/>
      <c r="I31" s="314"/>
      <c r="J31" s="312"/>
      <c r="K31" s="312"/>
      <c r="L31" s="314"/>
      <c r="M31" s="312"/>
      <c r="N31" s="312"/>
      <c r="O31" s="314">
        <v>0.1</v>
      </c>
      <c r="P31" s="314">
        <v>0.3</v>
      </c>
      <c r="Q31" s="314">
        <v>0.3</v>
      </c>
      <c r="R31" s="314">
        <v>0.3</v>
      </c>
      <c r="S31" s="1076"/>
      <c r="T31" s="333" t="s">
        <v>1135</v>
      </c>
      <c r="U31" s="333"/>
    </row>
    <row r="32" spans="1:22" ht="63" customHeight="1" x14ac:dyDescent="0.2">
      <c r="A32" s="334" t="s">
        <v>1316</v>
      </c>
      <c r="B32" s="326" t="s">
        <v>349</v>
      </c>
      <c r="C32" s="326" t="s">
        <v>1289</v>
      </c>
      <c r="D32" s="327" t="s">
        <v>18</v>
      </c>
      <c r="E32" s="327">
        <v>3</v>
      </c>
      <c r="F32" s="326" t="s">
        <v>1317</v>
      </c>
      <c r="G32" s="327"/>
      <c r="H32" s="327"/>
      <c r="I32" s="327"/>
      <c r="J32" s="327"/>
      <c r="K32" s="327"/>
      <c r="L32" s="327"/>
      <c r="M32" s="327"/>
      <c r="N32" s="327"/>
      <c r="O32" s="327" t="s">
        <v>350</v>
      </c>
      <c r="P32" s="327" t="s">
        <v>351</v>
      </c>
      <c r="Q32" s="327" t="s">
        <v>352</v>
      </c>
      <c r="R32" s="327"/>
      <c r="S32" s="800"/>
      <c r="T32" s="335" t="s">
        <v>1136</v>
      </c>
      <c r="U32" s="335"/>
    </row>
    <row r="33" spans="1:31" ht="92.25" customHeight="1" x14ac:dyDescent="0.2">
      <c r="A33" s="336" t="s">
        <v>1318</v>
      </c>
      <c r="B33" s="336" t="s">
        <v>353</v>
      </c>
      <c r="C33" s="336" t="s">
        <v>354</v>
      </c>
      <c r="D33" s="337" t="s">
        <v>18</v>
      </c>
      <c r="E33" s="337">
        <v>8</v>
      </c>
      <c r="F33" s="336" t="s">
        <v>1319</v>
      </c>
      <c r="G33" s="338"/>
      <c r="H33" s="322"/>
      <c r="I33" s="322">
        <v>2</v>
      </c>
      <c r="J33" s="322"/>
      <c r="K33" s="322"/>
      <c r="L33" s="322">
        <v>2</v>
      </c>
      <c r="M33" s="322"/>
      <c r="N33" s="322"/>
      <c r="O33" s="322">
        <v>2</v>
      </c>
      <c r="P33" s="322"/>
      <c r="Q33" s="322"/>
      <c r="R33" s="322">
        <v>2</v>
      </c>
      <c r="S33" s="801"/>
      <c r="T33" s="339" t="s">
        <v>1134</v>
      </c>
      <c r="U33" s="339"/>
    </row>
    <row r="34" spans="1:31" ht="87.75" customHeight="1" x14ac:dyDescent="0.2">
      <c r="A34" s="334" t="s">
        <v>1320</v>
      </c>
      <c r="B34" s="326" t="s">
        <v>915</v>
      </c>
      <c r="C34" s="326" t="s">
        <v>910</v>
      </c>
      <c r="D34" s="327" t="s">
        <v>315</v>
      </c>
      <c r="E34" s="328">
        <v>1</v>
      </c>
      <c r="F34" s="326" t="s">
        <v>1321</v>
      </c>
      <c r="G34" s="340"/>
      <c r="H34" s="340">
        <v>0.1</v>
      </c>
      <c r="I34" s="332">
        <v>0.2</v>
      </c>
      <c r="J34" s="332">
        <v>0.2</v>
      </c>
      <c r="K34" s="332">
        <v>0.2</v>
      </c>
      <c r="L34" s="332">
        <v>0.2</v>
      </c>
      <c r="M34" s="332">
        <v>0.1</v>
      </c>
      <c r="N34" s="327"/>
      <c r="O34" s="327"/>
      <c r="P34" s="327"/>
      <c r="Q34" s="327"/>
      <c r="R34" s="327"/>
      <c r="S34" s="802">
        <f>'Presupuesto TIC '!U77</f>
        <v>902322.24</v>
      </c>
      <c r="T34" s="329" t="s">
        <v>1135</v>
      </c>
      <c r="U34" s="329"/>
    </row>
    <row r="35" spans="1:31" ht="99.75" customHeight="1" x14ac:dyDescent="0.2">
      <c r="A35" s="336" t="s">
        <v>1322</v>
      </c>
      <c r="B35" s="336" t="s">
        <v>914</v>
      </c>
      <c r="C35" s="336" t="s">
        <v>355</v>
      </c>
      <c r="D35" s="337" t="s">
        <v>315</v>
      </c>
      <c r="E35" s="342">
        <v>1</v>
      </c>
      <c r="F35" s="336" t="s">
        <v>1323</v>
      </c>
      <c r="G35" s="341"/>
      <c r="H35" s="337"/>
      <c r="I35" s="316">
        <v>0.1</v>
      </c>
      <c r="J35" s="314">
        <v>0.2</v>
      </c>
      <c r="K35" s="314">
        <v>0.2</v>
      </c>
      <c r="L35" s="314">
        <v>0.2</v>
      </c>
      <c r="M35" s="314">
        <v>0.2</v>
      </c>
      <c r="N35" s="314">
        <v>0.1</v>
      </c>
      <c r="O35" s="322"/>
      <c r="P35" s="322"/>
      <c r="Q35" s="322"/>
      <c r="R35" s="322"/>
      <c r="S35" s="801">
        <f>'Presupuesto TIC '!U78</f>
        <v>1061555.44</v>
      </c>
      <c r="T35" s="339" t="s">
        <v>1135</v>
      </c>
      <c r="U35" s="339"/>
    </row>
    <row r="36" spans="1:31" ht="90" x14ac:dyDescent="0.2">
      <c r="A36" s="334" t="s">
        <v>1324</v>
      </c>
      <c r="B36" s="326" t="s">
        <v>913</v>
      </c>
      <c r="C36" s="326" t="s">
        <v>356</v>
      </c>
      <c r="D36" s="327" t="s">
        <v>315</v>
      </c>
      <c r="E36" s="328">
        <v>1</v>
      </c>
      <c r="F36" s="326" t="s">
        <v>1325</v>
      </c>
      <c r="G36" s="340"/>
      <c r="H36" s="332">
        <v>0.1</v>
      </c>
      <c r="I36" s="332">
        <v>0.2</v>
      </c>
      <c r="J36" s="332">
        <v>0.2</v>
      </c>
      <c r="K36" s="332">
        <v>0.2</v>
      </c>
      <c r="L36" s="332">
        <v>0.2</v>
      </c>
      <c r="M36" s="327">
        <v>0.1</v>
      </c>
      <c r="N36" s="327"/>
      <c r="O36" s="327"/>
      <c r="P36" s="327"/>
      <c r="Q36" s="327"/>
      <c r="R36" s="327"/>
      <c r="S36" s="802">
        <f>'Presupuesto TIC '!U79</f>
        <v>2075766.06</v>
      </c>
      <c r="T36" s="329" t="s">
        <v>1135</v>
      </c>
      <c r="U36" s="329"/>
    </row>
    <row r="37" spans="1:31" ht="90" x14ac:dyDescent="0.2">
      <c r="A37" s="336" t="s">
        <v>1326</v>
      </c>
      <c r="B37" s="336" t="s">
        <v>912</v>
      </c>
      <c r="C37" s="336" t="s">
        <v>357</v>
      </c>
      <c r="D37" s="337" t="s">
        <v>315</v>
      </c>
      <c r="E37" s="342">
        <v>1</v>
      </c>
      <c r="F37" s="336" t="s">
        <v>1327</v>
      </c>
      <c r="G37" s="341"/>
      <c r="H37" s="337"/>
      <c r="I37" s="337"/>
      <c r="J37" s="337"/>
      <c r="K37" s="337"/>
      <c r="L37" s="337"/>
      <c r="M37" s="337"/>
      <c r="N37" s="337"/>
      <c r="O37" s="337"/>
      <c r="P37" s="337"/>
      <c r="Q37" s="337"/>
      <c r="R37" s="342">
        <v>1</v>
      </c>
      <c r="S37" s="803">
        <f>'Presupuesto TIC '!U80</f>
        <v>1680000</v>
      </c>
      <c r="T37" s="451" t="s">
        <v>1135</v>
      </c>
      <c r="U37" s="451"/>
    </row>
    <row r="38" spans="1:31" ht="117.75" customHeight="1" x14ac:dyDescent="0.2">
      <c r="A38" s="578" t="s">
        <v>1328</v>
      </c>
      <c r="B38" s="578" t="s">
        <v>1288</v>
      </c>
      <c r="C38" s="578" t="s">
        <v>911</v>
      </c>
      <c r="D38" s="579" t="s">
        <v>315</v>
      </c>
      <c r="E38" s="580">
        <v>1</v>
      </c>
      <c r="F38" s="578" t="s">
        <v>1329</v>
      </c>
      <c r="G38" s="581"/>
      <c r="H38" s="579"/>
      <c r="I38" s="582">
        <v>0.1</v>
      </c>
      <c r="J38" s="583">
        <v>0.2</v>
      </c>
      <c r="K38" s="583">
        <v>0.2</v>
      </c>
      <c r="L38" s="583">
        <v>0.2</v>
      </c>
      <c r="M38" s="583">
        <v>0.2</v>
      </c>
      <c r="N38" s="583">
        <v>0.1</v>
      </c>
      <c r="O38" s="579"/>
      <c r="P38" s="579"/>
      <c r="Q38" s="579"/>
      <c r="R38" s="579"/>
      <c r="S38" s="802"/>
      <c r="T38" s="329" t="s">
        <v>1135</v>
      </c>
      <c r="U38" s="329"/>
    </row>
    <row r="39" spans="1:31" customFormat="1" ht="96" customHeight="1" x14ac:dyDescent="0.25">
      <c r="A39" s="729" t="s">
        <v>1339</v>
      </c>
      <c r="B39" s="336" t="s">
        <v>1287</v>
      </c>
      <c r="C39" s="336" t="s">
        <v>1286</v>
      </c>
      <c r="D39" s="337" t="s">
        <v>315</v>
      </c>
      <c r="E39" s="342">
        <v>1</v>
      </c>
      <c r="F39" s="336" t="s">
        <v>1330</v>
      </c>
      <c r="G39" s="316"/>
      <c r="H39" s="316"/>
      <c r="I39" s="314">
        <v>0.1</v>
      </c>
      <c r="J39" s="314">
        <v>0.2</v>
      </c>
      <c r="K39" s="314">
        <v>0.5</v>
      </c>
      <c r="L39" s="314">
        <v>0.1</v>
      </c>
      <c r="M39" s="314">
        <v>0.1</v>
      </c>
      <c r="N39" s="316"/>
      <c r="O39" s="337"/>
      <c r="P39" s="337"/>
      <c r="Q39" s="337"/>
      <c r="R39" s="337"/>
      <c r="S39" s="803">
        <f>'Presupuesto TIC '!U81</f>
        <v>1565250</v>
      </c>
      <c r="T39" s="451" t="s">
        <v>1135</v>
      </c>
      <c r="U39" s="451" t="s">
        <v>1285</v>
      </c>
      <c r="V39" s="26"/>
      <c r="W39" s="585"/>
      <c r="X39" s="585"/>
      <c r="Y39" s="585"/>
      <c r="Z39" s="585"/>
      <c r="AA39" s="585"/>
      <c r="AB39" s="585"/>
      <c r="AC39" s="585"/>
      <c r="AD39" s="586"/>
      <c r="AE39" s="587"/>
    </row>
    <row r="40" spans="1:31" customFormat="1" ht="96" customHeight="1" x14ac:dyDescent="0.25">
      <c r="A40" s="329" t="s">
        <v>1331</v>
      </c>
      <c r="B40" s="720" t="s">
        <v>1131</v>
      </c>
      <c r="C40" s="720" t="s">
        <v>1130</v>
      </c>
      <c r="D40" s="721" t="s">
        <v>315</v>
      </c>
      <c r="E40" s="723">
        <v>1</v>
      </c>
      <c r="F40" s="734" t="s">
        <v>1331</v>
      </c>
      <c r="G40" s="733"/>
      <c r="H40" s="732"/>
      <c r="I40" s="731"/>
      <c r="J40" s="730">
        <v>0.1</v>
      </c>
      <c r="K40" s="723">
        <v>0.2</v>
      </c>
      <c r="L40" s="723">
        <v>0.3</v>
      </c>
      <c r="M40" s="723">
        <v>0.3</v>
      </c>
      <c r="N40" s="723">
        <v>0.1</v>
      </c>
      <c r="O40" s="721"/>
      <c r="P40" s="721"/>
      <c r="Q40" s="721"/>
      <c r="R40" s="721"/>
      <c r="S40" s="781">
        <f>'Presupuesto TIC '!U82</f>
        <v>2504400</v>
      </c>
      <c r="T40" s="720" t="s">
        <v>1135</v>
      </c>
      <c r="U40" s="720" t="s">
        <v>1285</v>
      </c>
      <c r="V40" s="26"/>
      <c r="W40" s="585"/>
      <c r="X40" s="585"/>
      <c r="Y40" s="585"/>
      <c r="Z40" s="585"/>
      <c r="AA40" s="585"/>
      <c r="AB40" s="585"/>
      <c r="AC40" s="585"/>
      <c r="AD40" s="586"/>
      <c r="AE40" s="587"/>
    </row>
    <row r="41" spans="1:31" s="88" customFormat="1" ht="90" x14ac:dyDescent="0.25">
      <c r="A41" s="729" t="s">
        <v>1332</v>
      </c>
      <c r="B41" s="336" t="s">
        <v>1131</v>
      </c>
      <c r="C41" s="336" t="s">
        <v>1130</v>
      </c>
      <c r="D41" s="337" t="s">
        <v>315</v>
      </c>
      <c r="E41" s="342">
        <v>1</v>
      </c>
      <c r="F41" s="336" t="s">
        <v>1333</v>
      </c>
      <c r="G41" s="316"/>
      <c r="H41" s="313">
        <v>0.1</v>
      </c>
      <c r="I41" s="314">
        <v>0.1</v>
      </c>
      <c r="J41" s="314">
        <v>0.1</v>
      </c>
      <c r="K41" s="314">
        <v>0.2</v>
      </c>
      <c r="L41" s="314">
        <v>0.2</v>
      </c>
      <c r="M41" s="314">
        <v>0.2</v>
      </c>
      <c r="N41" s="313">
        <v>0.1</v>
      </c>
      <c r="O41" s="337"/>
      <c r="P41" s="337"/>
      <c r="Q41" s="337"/>
      <c r="R41" s="337"/>
      <c r="S41" s="803">
        <f>'Presupuesto TIC '!U83</f>
        <v>3881471.8285111878</v>
      </c>
      <c r="T41" s="451" t="s">
        <v>1135</v>
      </c>
      <c r="U41" s="451"/>
      <c r="V41" s="29"/>
      <c r="W41" s="728"/>
      <c r="X41" s="728"/>
      <c r="Y41" s="728"/>
      <c r="Z41" s="728"/>
      <c r="AA41" s="728"/>
      <c r="AB41" s="728"/>
      <c r="AC41" s="728"/>
      <c r="AD41" s="727"/>
      <c r="AE41" s="726"/>
    </row>
    <row r="42" spans="1:31" customFormat="1" ht="90" x14ac:dyDescent="0.25">
      <c r="A42" s="578" t="s">
        <v>1334</v>
      </c>
      <c r="B42" s="578" t="s">
        <v>1131</v>
      </c>
      <c r="C42" s="578" t="s">
        <v>1130</v>
      </c>
      <c r="D42" s="579" t="s">
        <v>315</v>
      </c>
      <c r="E42" s="580">
        <v>1</v>
      </c>
      <c r="F42" s="578" t="s">
        <v>1335</v>
      </c>
      <c r="G42" s="725"/>
      <c r="H42" s="721"/>
      <c r="I42" s="724">
        <v>0.1</v>
      </c>
      <c r="J42" s="724">
        <v>0.1</v>
      </c>
      <c r="K42" s="724">
        <v>0.1</v>
      </c>
      <c r="L42" s="723">
        <v>0.2</v>
      </c>
      <c r="M42" s="723">
        <v>0.2</v>
      </c>
      <c r="N42" s="723">
        <v>0.2</v>
      </c>
      <c r="O42" s="723">
        <v>0.1</v>
      </c>
      <c r="P42" s="722"/>
      <c r="Q42" s="721"/>
      <c r="R42" s="721"/>
      <c r="S42" s="781">
        <f>SUM('Presupuesto TIC '!U84:U87)</f>
        <v>19088149.379173022</v>
      </c>
      <c r="T42" s="720" t="s">
        <v>1135</v>
      </c>
      <c r="U42" s="720" t="s">
        <v>1284</v>
      </c>
      <c r="V42" s="26"/>
      <c r="W42" s="585"/>
      <c r="X42" s="585"/>
      <c r="Y42" s="585"/>
      <c r="Z42" s="585"/>
      <c r="AA42" s="585"/>
      <c r="AB42" s="585"/>
      <c r="AC42" s="585"/>
      <c r="AD42" s="586"/>
      <c r="AE42" s="587"/>
    </row>
    <row r="43" spans="1:31" ht="15" x14ac:dyDescent="0.2">
      <c r="A43" s="302"/>
      <c r="B43" s="302"/>
      <c r="C43" s="302"/>
      <c r="D43" s="302"/>
      <c r="E43" s="302"/>
      <c r="F43" s="302"/>
      <c r="G43" s="302"/>
      <c r="H43" s="302"/>
      <c r="I43" s="302"/>
      <c r="J43" s="302"/>
      <c r="K43" s="302"/>
      <c r="L43" s="302"/>
      <c r="M43" s="302"/>
      <c r="N43" s="302"/>
      <c r="O43" s="302"/>
      <c r="P43" s="302"/>
      <c r="Q43" s="302"/>
      <c r="R43" s="302"/>
      <c r="S43" s="584">
        <f>SUM(S21:S42)</f>
        <v>134551148.14768422</v>
      </c>
      <c r="T43" s="302"/>
      <c r="U43" s="302"/>
    </row>
    <row r="44" spans="1:31" ht="15" x14ac:dyDescent="0.2">
      <c r="A44" s="301"/>
      <c r="B44" s="33"/>
      <c r="C44" s="301"/>
      <c r="D44" s="33"/>
      <c r="E44" s="33"/>
      <c r="F44" s="301"/>
      <c r="G44" s="33"/>
      <c r="H44" s="33"/>
      <c r="I44" s="33"/>
      <c r="J44" s="33"/>
      <c r="K44" s="33"/>
      <c r="L44" s="33"/>
      <c r="M44" s="33"/>
      <c r="N44" s="33"/>
      <c r="O44" s="33"/>
      <c r="P44" s="33"/>
      <c r="Q44" s="33"/>
      <c r="R44" s="33"/>
      <c r="S44" s="33"/>
      <c r="T44" s="33"/>
    </row>
    <row r="45" spans="1:31" ht="15" x14ac:dyDescent="0.2">
      <c r="A45" s="301"/>
      <c r="B45" s="33"/>
      <c r="C45" s="301"/>
      <c r="D45" s="33"/>
      <c r="E45" s="33"/>
      <c r="F45" s="301"/>
      <c r="G45" s="33"/>
      <c r="H45" s="33"/>
      <c r="I45" s="33"/>
      <c r="J45" s="33"/>
      <c r="K45" s="33"/>
      <c r="L45" s="33"/>
      <c r="M45" s="33"/>
      <c r="N45" s="33"/>
      <c r="O45" s="33"/>
      <c r="P45" s="33"/>
      <c r="Q45" s="33"/>
      <c r="R45" s="33"/>
      <c r="S45" s="588"/>
      <c r="T45" s="33"/>
    </row>
    <row r="49" spans="2:19" ht="15" x14ac:dyDescent="0.2">
      <c r="B49" s="475"/>
      <c r="C49" s="475"/>
      <c r="D49" s="475"/>
      <c r="E49" s="101"/>
      <c r="F49" s="101"/>
      <c r="G49" s="126"/>
      <c r="H49" s="992"/>
      <c r="I49" s="992"/>
      <c r="J49" s="992"/>
      <c r="K49" s="992"/>
      <c r="L49" s="992"/>
      <c r="M49" s="126"/>
      <c r="N49" s="126"/>
      <c r="O49" s="101"/>
      <c r="P49" s="101"/>
      <c r="Q49" s="853"/>
      <c r="R49" s="853"/>
      <c r="S49" s="853"/>
    </row>
    <row r="50" spans="2:19" ht="15" x14ac:dyDescent="0.2">
      <c r="B50" s="854" t="s">
        <v>1058</v>
      </c>
      <c r="C50" s="854"/>
      <c r="D50" s="854"/>
      <c r="E50" s="101"/>
      <c r="F50" s="101"/>
      <c r="G50" s="128"/>
      <c r="H50" s="854" t="s">
        <v>536</v>
      </c>
      <c r="I50" s="854"/>
      <c r="J50" s="854"/>
      <c r="K50" s="854"/>
      <c r="L50" s="854"/>
      <c r="M50" s="151"/>
      <c r="N50" s="151"/>
      <c r="O50" s="101"/>
      <c r="P50" s="101"/>
      <c r="Q50" s="854" t="s">
        <v>537</v>
      </c>
      <c r="R50" s="854"/>
      <c r="S50" s="854"/>
    </row>
    <row r="51" spans="2:19" ht="15" x14ac:dyDescent="0.2">
      <c r="B51" s="851" t="s">
        <v>1059</v>
      </c>
      <c r="C51" s="851"/>
      <c r="D51" s="851"/>
      <c r="E51" s="101"/>
      <c r="F51" s="101"/>
      <c r="G51" s="128"/>
      <c r="H51" s="851" t="s">
        <v>546</v>
      </c>
      <c r="I51" s="851"/>
      <c r="J51" s="851"/>
      <c r="K51" s="851"/>
      <c r="L51" s="851"/>
      <c r="M51" s="101"/>
      <c r="N51" s="101"/>
      <c r="O51" s="101"/>
      <c r="P51" s="101"/>
      <c r="Q51" s="851" t="s">
        <v>538</v>
      </c>
      <c r="R51" s="851"/>
      <c r="S51" s="851"/>
    </row>
  </sheetData>
  <mergeCells count="30">
    <mergeCell ref="B51:D51"/>
    <mergeCell ref="H51:L51"/>
    <mergeCell ref="Q51:S51"/>
    <mergeCell ref="H49:L49"/>
    <mergeCell ref="Q49:S49"/>
    <mergeCell ref="B50:D50"/>
    <mergeCell ref="H50:L50"/>
    <mergeCell ref="Q50:S50"/>
    <mergeCell ref="A24:A26"/>
    <mergeCell ref="S24:S26"/>
    <mergeCell ref="T24:T26"/>
    <mergeCell ref="A27:A31"/>
    <mergeCell ref="M19:O19"/>
    <mergeCell ref="P19:R19"/>
    <mergeCell ref="S19:S20"/>
    <mergeCell ref="T19:T20"/>
    <mergeCell ref="G19:I19"/>
    <mergeCell ref="J19:L19"/>
    <mergeCell ref="S27:S31"/>
    <mergeCell ref="F19:F20"/>
    <mergeCell ref="A12:U12"/>
    <mergeCell ref="A13:U13"/>
    <mergeCell ref="B15:U15"/>
    <mergeCell ref="B16:U16"/>
    <mergeCell ref="B17:U17"/>
    <mergeCell ref="U19:U20"/>
    <mergeCell ref="A19:A20"/>
    <mergeCell ref="B19:B20"/>
    <mergeCell ref="C19:C20"/>
    <mergeCell ref="D19:E19"/>
  </mergeCells>
  <pageMargins left="0.23622047244094491" right="0.23622047244094491" top="0.39370078740157483" bottom="0.39370078740157483" header="0.31496062992125984" footer="0.31496062992125984"/>
  <pageSetup paperSize="5" scale="26" fitToHeight="0" orientation="landscape" r:id="rId1"/>
  <headerFooter>
    <oddFooter>&amp;CPágina &amp;P de &amp;N</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25C1E-C6D5-4B0D-8FFA-F409ACD92A38}">
  <sheetPr>
    <pageSetUpPr fitToPage="1"/>
  </sheetPr>
  <dimension ref="A15:JG104"/>
  <sheetViews>
    <sheetView topLeftCell="P77" zoomScale="55" zoomScaleNormal="55" workbookViewId="0">
      <selection activeCell="X86" sqref="X86"/>
    </sheetView>
  </sheetViews>
  <sheetFormatPr defaultColWidth="11.42578125" defaultRowHeight="14.25" x14ac:dyDescent="0.2"/>
  <cols>
    <col min="1" max="1" width="44" style="26" customWidth="1"/>
    <col min="2" max="2" width="48.42578125" style="26" customWidth="1"/>
    <col min="3" max="3" width="23.42578125" style="26" customWidth="1"/>
    <col min="4" max="4" width="39.7109375" style="26" customWidth="1"/>
    <col min="5" max="5" width="29.42578125" style="48" customWidth="1"/>
    <col min="6" max="6" width="19.42578125" style="26" customWidth="1"/>
    <col min="7" max="7" width="15.28515625" style="49" customWidth="1"/>
    <col min="8" max="8" width="22.7109375" style="50" customWidth="1"/>
    <col min="9" max="9" width="14.7109375" style="26" customWidth="1"/>
    <col min="10" max="10" width="21.140625" style="26" customWidth="1"/>
    <col min="11" max="11" width="23.5703125" style="26" customWidth="1"/>
    <col min="12" max="12" width="23.7109375" style="26" customWidth="1"/>
    <col min="13" max="13" width="26.42578125" style="26" customWidth="1"/>
    <col min="14" max="14" width="24" style="26" customWidth="1"/>
    <col min="15" max="15" width="21.42578125" style="26" customWidth="1"/>
    <col min="16" max="16" width="24.42578125" style="26" customWidth="1"/>
    <col min="17" max="17" width="29.7109375" style="26" customWidth="1"/>
    <col min="18" max="18" width="15.7109375" style="26" customWidth="1"/>
    <col min="19" max="19" width="19.42578125" style="26" customWidth="1"/>
    <col min="20" max="20" width="22.42578125" style="26" customWidth="1"/>
    <col min="21" max="21" width="27.5703125" style="26" customWidth="1"/>
    <col min="22" max="22" width="65.28515625" style="30" bestFit="1" customWidth="1"/>
    <col min="23" max="23" width="5" style="31" customWidth="1"/>
    <col min="24" max="24" width="18.28515625" style="31" customWidth="1"/>
    <col min="25" max="25" width="15.140625" style="31" customWidth="1"/>
    <col min="26" max="26" width="15.42578125" style="31" customWidth="1"/>
    <col min="27" max="28" width="11.42578125" style="31"/>
    <col min="29" max="16384" width="11.42578125" style="26"/>
  </cols>
  <sheetData>
    <row r="15" spans="1:267" s="31" customFormat="1" ht="19.5" x14ac:dyDescent="0.25">
      <c r="A15" s="1061" t="s">
        <v>0</v>
      </c>
      <c r="B15" s="1061"/>
      <c r="C15" s="1061"/>
      <c r="D15" s="1061"/>
      <c r="E15" s="1061"/>
      <c r="F15" s="1061"/>
      <c r="G15" s="1061"/>
      <c r="H15" s="1061"/>
      <c r="I15" s="1061"/>
      <c r="J15" s="1061"/>
      <c r="K15" s="1061"/>
      <c r="L15" s="1061"/>
      <c r="M15" s="1061"/>
      <c r="N15" s="1061"/>
      <c r="O15" s="1061"/>
      <c r="P15" s="1061"/>
      <c r="Q15" s="1061"/>
      <c r="R15" s="1061"/>
      <c r="S15" s="1061"/>
      <c r="T15" s="1061"/>
      <c r="U15" s="1061"/>
      <c r="V15" s="1061"/>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row>
    <row r="16" spans="1:267" s="31" customFormat="1" ht="19.5" x14ac:dyDescent="0.25">
      <c r="A16" s="1061" t="s">
        <v>1</v>
      </c>
      <c r="B16" s="1061"/>
      <c r="C16" s="1061"/>
      <c r="D16" s="1061"/>
      <c r="E16" s="1061"/>
      <c r="F16" s="1061"/>
      <c r="G16" s="1061"/>
      <c r="H16" s="1061"/>
      <c r="I16" s="1061"/>
      <c r="J16" s="1061"/>
      <c r="K16" s="1061"/>
      <c r="L16" s="1061"/>
      <c r="M16" s="1061"/>
      <c r="N16" s="1061"/>
      <c r="O16" s="1061"/>
      <c r="P16" s="1061"/>
      <c r="Q16" s="1061"/>
      <c r="R16" s="1061"/>
      <c r="S16" s="1061"/>
      <c r="T16" s="1061"/>
      <c r="U16" s="1061"/>
      <c r="V16" s="1061"/>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row>
    <row r="17" spans="1:267" s="31" customFormat="1" ht="19.5" x14ac:dyDescent="0.25">
      <c r="A17" s="1061" t="s">
        <v>42</v>
      </c>
      <c r="B17" s="1061"/>
      <c r="C17" s="1061"/>
      <c r="D17" s="1061"/>
      <c r="E17" s="1061"/>
      <c r="F17" s="1061"/>
      <c r="G17" s="1061"/>
      <c r="H17" s="1061"/>
      <c r="I17" s="1061"/>
      <c r="J17" s="1061"/>
      <c r="K17" s="1061"/>
      <c r="L17" s="1061"/>
      <c r="M17" s="1061"/>
      <c r="N17" s="1061"/>
      <c r="O17" s="1061"/>
      <c r="P17" s="1061"/>
      <c r="Q17" s="1061"/>
      <c r="R17" s="1061"/>
      <c r="S17" s="1061"/>
      <c r="T17" s="1061"/>
      <c r="U17" s="1061"/>
      <c r="V17" s="1061"/>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row>
    <row r="18" spans="1:267" x14ac:dyDescent="0.2">
      <c r="A18" s="91"/>
      <c r="B18" s="91"/>
      <c r="C18" s="91"/>
      <c r="D18" s="91"/>
      <c r="E18" s="91"/>
      <c r="F18" s="91"/>
      <c r="G18" s="91"/>
      <c r="H18" s="91"/>
      <c r="I18" s="91"/>
      <c r="J18" s="91"/>
      <c r="K18" s="91"/>
      <c r="L18" s="91"/>
      <c r="M18" s="91"/>
      <c r="N18" s="91"/>
      <c r="O18" s="91"/>
      <c r="P18" s="91"/>
      <c r="Q18" s="91"/>
      <c r="R18" s="91"/>
      <c r="S18" s="91"/>
      <c r="T18" s="91"/>
      <c r="U18" s="91"/>
      <c r="V18" s="91"/>
    </row>
    <row r="19" spans="1:267" x14ac:dyDescent="0.2">
      <c r="A19" s="91"/>
      <c r="B19" s="91"/>
      <c r="C19" s="91"/>
      <c r="D19" s="91"/>
      <c r="E19" s="91"/>
      <c r="F19" s="91"/>
      <c r="G19" s="91"/>
      <c r="H19" s="91"/>
      <c r="I19" s="91"/>
      <c r="J19" s="91"/>
      <c r="K19" s="91"/>
      <c r="L19" s="91"/>
      <c r="M19" s="91"/>
      <c r="N19" s="91"/>
      <c r="O19" s="91"/>
      <c r="P19" s="91"/>
      <c r="Q19" s="91"/>
      <c r="R19" s="91"/>
      <c r="S19" s="91"/>
      <c r="T19" s="91"/>
      <c r="U19" s="91"/>
      <c r="V19" s="91"/>
    </row>
    <row r="20" spans="1:267" s="33" customFormat="1" ht="15" x14ac:dyDescent="0.2">
      <c r="A20" s="343" t="s">
        <v>2</v>
      </c>
      <c r="B20" s="1062" t="s">
        <v>645</v>
      </c>
      <c r="C20" s="1062"/>
      <c r="D20" s="1062"/>
      <c r="E20" s="1062"/>
      <c r="F20" s="1062"/>
      <c r="G20" s="1062"/>
      <c r="H20" s="1062"/>
      <c r="I20" s="1062"/>
      <c r="J20" s="1062"/>
      <c r="K20" s="1062"/>
      <c r="L20" s="1062"/>
      <c r="M20" s="1062"/>
      <c r="N20" s="1062"/>
      <c r="O20" s="1062"/>
      <c r="P20" s="1062"/>
      <c r="Q20" s="1062"/>
      <c r="R20" s="1062"/>
      <c r="S20" s="1062"/>
      <c r="T20" s="1062"/>
      <c r="U20" s="1062"/>
      <c r="V20" s="1062"/>
      <c r="W20" s="32"/>
      <c r="X20" s="32"/>
      <c r="Y20" s="32"/>
      <c r="Z20" s="32"/>
      <c r="AA20" s="32"/>
      <c r="AB20" s="32"/>
    </row>
    <row r="21" spans="1:267" s="33" customFormat="1" ht="15" x14ac:dyDescent="0.2">
      <c r="A21" s="343" t="s">
        <v>3</v>
      </c>
      <c r="B21" s="1062" t="s">
        <v>646</v>
      </c>
      <c r="C21" s="1062"/>
      <c r="D21" s="1062"/>
      <c r="E21" s="1062"/>
      <c r="F21" s="1062"/>
      <c r="G21" s="1062"/>
      <c r="H21" s="1062"/>
      <c r="I21" s="1062"/>
      <c r="J21" s="1062"/>
      <c r="K21" s="1062"/>
      <c r="L21" s="1062"/>
      <c r="M21" s="1062"/>
      <c r="N21" s="1062"/>
      <c r="O21" s="1062"/>
      <c r="P21" s="1062"/>
      <c r="Q21" s="1062"/>
      <c r="R21" s="1062"/>
      <c r="S21" s="1062"/>
      <c r="T21" s="1062"/>
      <c r="U21" s="1062"/>
      <c r="V21" s="1062"/>
      <c r="W21" s="32"/>
      <c r="X21" s="32"/>
      <c r="Y21" s="32"/>
      <c r="Z21" s="32"/>
      <c r="AA21" s="32"/>
      <c r="AB21" s="32"/>
    </row>
    <row r="22" spans="1:267" s="33" customFormat="1" ht="15" x14ac:dyDescent="0.2">
      <c r="A22" s="343" t="s">
        <v>5</v>
      </c>
      <c r="B22" s="1062" t="s">
        <v>647</v>
      </c>
      <c r="C22" s="1062"/>
      <c r="D22" s="1062"/>
      <c r="E22" s="1062"/>
      <c r="F22" s="1062"/>
      <c r="G22" s="1062"/>
      <c r="H22" s="1062"/>
      <c r="I22" s="1062"/>
      <c r="J22" s="1062"/>
      <c r="K22" s="1062"/>
      <c r="L22" s="1062"/>
      <c r="M22" s="1062"/>
      <c r="N22" s="1062"/>
      <c r="O22" s="1062"/>
      <c r="P22" s="1062"/>
      <c r="Q22" s="1062"/>
      <c r="R22" s="1062"/>
      <c r="S22" s="1062"/>
      <c r="T22" s="1062"/>
      <c r="U22" s="1062"/>
      <c r="V22" s="1062"/>
      <c r="W22" s="32"/>
      <c r="X22" s="32"/>
      <c r="Y22" s="32"/>
      <c r="Z22" s="32"/>
      <c r="AA22" s="32"/>
      <c r="AB22" s="32"/>
    </row>
    <row r="23" spans="1:267" ht="15" x14ac:dyDescent="0.2">
      <c r="A23" s="33"/>
      <c r="B23" s="33"/>
      <c r="C23" s="33"/>
      <c r="D23" s="33"/>
      <c r="E23" s="347"/>
      <c r="F23" s="33"/>
      <c r="G23" s="348"/>
      <c r="H23" s="349"/>
      <c r="I23" s="33"/>
      <c r="J23" s="33"/>
      <c r="K23" s="33"/>
      <c r="L23" s="33"/>
      <c r="M23" s="33"/>
      <c r="N23" s="33"/>
      <c r="O23" s="33"/>
      <c r="P23" s="33"/>
      <c r="Q23" s="33"/>
      <c r="R23" s="33"/>
      <c r="S23" s="33"/>
      <c r="T23" s="33"/>
      <c r="U23" s="33"/>
      <c r="V23" s="301"/>
    </row>
    <row r="24" spans="1:267" ht="15" x14ac:dyDescent="0.2">
      <c r="A24" s="1059" t="s">
        <v>6</v>
      </c>
      <c r="B24" s="1059" t="s">
        <v>10</v>
      </c>
      <c r="C24" s="1059" t="s">
        <v>43</v>
      </c>
      <c r="D24" s="1059" t="s">
        <v>44</v>
      </c>
      <c r="E24" s="1059" t="s">
        <v>45</v>
      </c>
      <c r="F24" s="1059" t="s">
        <v>46</v>
      </c>
      <c r="G24" s="1089" t="s">
        <v>47</v>
      </c>
      <c r="H24" s="1059" t="s">
        <v>1341</v>
      </c>
      <c r="I24" s="1073" t="s">
        <v>11</v>
      </c>
      <c r="J24" s="1073"/>
      <c r="K24" s="1073"/>
      <c r="L24" s="1073" t="s">
        <v>12</v>
      </c>
      <c r="M24" s="1073"/>
      <c r="N24" s="1073"/>
      <c r="O24" s="1073" t="s">
        <v>13</v>
      </c>
      <c r="P24" s="1073"/>
      <c r="Q24" s="1073"/>
      <c r="R24" s="1073" t="s">
        <v>14</v>
      </c>
      <c r="S24" s="1073"/>
      <c r="T24" s="1073"/>
      <c r="U24" s="1059" t="s">
        <v>15</v>
      </c>
      <c r="V24" s="1059" t="s">
        <v>49</v>
      </c>
    </row>
    <row r="25" spans="1:267" s="28" customFormat="1" ht="45" customHeight="1" x14ac:dyDescent="0.25">
      <c r="A25" s="1059"/>
      <c r="B25" s="1059"/>
      <c r="C25" s="1059"/>
      <c r="D25" s="1059"/>
      <c r="E25" s="1059"/>
      <c r="F25" s="1059"/>
      <c r="G25" s="1089"/>
      <c r="H25" s="1059"/>
      <c r="I25" s="350" t="s">
        <v>19</v>
      </c>
      <c r="J25" s="350" t="s">
        <v>20</v>
      </c>
      <c r="K25" s="350" t="s">
        <v>21</v>
      </c>
      <c r="L25" s="350" t="s">
        <v>22</v>
      </c>
      <c r="M25" s="350" t="s">
        <v>23</v>
      </c>
      <c r="N25" s="350" t="s">
        <v>24</v>
      </c>
      <c r="O25" s="350" t="s">
        <v>25</v>
      </c>
      <c r="P25" s="350" t="s">
        <v>26</v>
      </c>
      <c r="Q25" s="350" t="s">
        <v>27</v>
      </c>
      <c r="R25" s="350" t="s">
        <v>28</v>
      </c>
      <c r="S25" s="350" t="s">
        <v>29</v>
      </c>
      <c r="T25" s="350" t="s">
        <v>30</v>
      </c>
      <c r="U25" s="1059"/>
      <c r="V25" s="1059"/>
      <c r="W25" s="34"/>
      <c r="X25" s="34"/>
      <c r="Y25" s="34"/>
      <c r="Z25" s="34"/>
      <c r="AA25" s="34"/>
      <c r="AB25" s="34"/>
    </row>
    <row r="26" spans="1:267" s="37" customFormat="1" ht="45" x14ac:dyDescent="0.2">
      <c r="A26" s="458" t="s">
        <v>1300</v>
      </c>
      <c r="B26" s="459" t="s">
        <v>1336</v>
      </c>
      <c r="C26" s="40" t="s">
        <v>358</v>
      </c>
      <c r="D26" s="40" t="s">
        <v>359</v>
      </c>
      <c r="E26" s="94" t="s">
        <v>249</v>
      </c>
      <c r="F26" s="94" t="s">
        <v>131</v>
      </c>
      <c r="G26" s="95">
        <v>4</v>
      </c>
      <c r="H26" s="766">
        <v>2940000</v>
      </c>
      <c r="I26" s="782"/>
      <c r="J26" s="782"/>
      <c r="K26" s="782"/>
      <c r="L26" s="782"/>
      <c r="M26" s="782"/>
      <c r="N26" s="766">
        <f>+H26*G26</f>
        <v>11760000</v>
      </c>
      <c r="O26" s="766"/>
      <c r="P26" s="766"/>
      <c r="Q26" s="782"/>
      <c r="R26" s="766"/>
      <c r="S26" s="766"/>
      <c r="T26" s="766"/>
      <c r="U26" s="766">
        <f t="shared" ref="U26:U81" si="0">SUM(I26:T26)</f>
        <v>11760000</v>
      </c>
      <c r="V26" s="459"/>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row>
    <row r="27" spans="1:267" s="39" customFormat="1" ht="57" customHeight="1" x14ac:dyDescent="0.2">
      <c r="A27" s="745" t="str">
        <f>'POA TIC'!A22</f>
        <v>77. Plataforma para el intercambio y cruce electrónico de datos administrativos operando</v>
      </c>
      <c r="B27" s="745" t="str">
        <f>'POA TIC'!F22</f>
        <v xml:space="preserve">77.1  Implementar la Plataforma para el intercambio y cruce electrónico de datos administrativos </v>
      </c>
      <c r="C27" s="742" t="s">
        <v>358</v>
      </c>
      <c r="D27" s="742" t="s">
        <v>359</v>
      </c>
      <c r="E27" s="743" t="s">
        <v>249</v>
      </c>
      <c r="F27" s="743" t="s">
        <v>131</v>
      </c>
      <c r="G27" s="744">
        <v>2</v>
      </c>
      <c r="H27" s="767">
        <f>1400000</f>
        <v>1400000</v>
      </c>
      <c r="I27" s="774"/>
      <c r="J27" s="767"/>
      <c r="K27" s="767">
        <f>+H27*G27</f>
        <v>2800000</v>
      </c>
      <c r="L27" s="767"/>
      <c r="M27" s="767"/>
      <c r="N27" s="767"/>
      <c r="O27" s="767"/>
      <c r="P27" s="767"/>
      <c r="Q27" s="767"/>
      <c r="R27" s="767"/>
      <c r="S27" s="767"/>
      <c r="T27" s="767"/>
      <c r="U27" s="767">
        <f t="shared" si="0"/>
        <v>2800000</v>
      </c>
      <c r="V27" s="746"/>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c r="IW27" s="31"/>
      <c r="IX27" s="31"/>
      <c r="IY27" s="31"/>
      <c r="IZ27" s="31"/>
      <c r="JA27" s="31"/>
      <c r="JB27" s="31"/>
      <c r="JC27" s="31"/>
      <c r="JD27" s="31"/>
      <c r="JE27" s="31"/>
      <c r="JF27" s="31"/>
      <c r="JG27" s="31"/>
    </row>
    <row r="28" spans="1:267" s="30" customFormat="1" ht="60" x14ac:dyDescent="0.2">
      <c r="A28" s="458" t="str">
        <f>'POA TIC'!A23</f>
        <v>78. Portal de información de protección social operando</v>
      </c>
      <c r="B28" s="459" t="str">
        <f>'POA TIC'!F23</f>
        <v xml:space="preserve">78.1 Elaborar e implementar portal de información de protección social  </v>
      </c>
      <c r="C28" s="40" t="s">
        <v>358</v>
      </c>
      <c r="D28" s="40" t="s">
        <v>360</v>
      </c>
      <c r="E28" s="94" t="s">
        <v>249</v>
      </c>
      <c r="F28" s="94" t="s">
        <v>131</v>
      </c>
      <c r="G28" s="95">
        <v>1</v>
      </c>
      <c r="H28" s="766">
        <f>30000*56</f>
        <v>1680000</v>
      </c>
      <c r="I28" s="782"/>
      <c r="J28" s="782"/>
      <c r="K28" s="782"/>
      <c r="L28" s="782"/>
      <c r="M28" s="782"/>
      <c r="N28" s="766"/>
      <c r="O28" s="766">
        <f>+H28*G28</f>
        <v>1680000</v>
      </c>
      <c r="P28" s="766"/>
      <c r="Q28" s="782"/>
      <c r="R28" s="766"/>
      <c r="S28" s="766"/>
      <c r="T28" s="766"/>
      <c r="U28" s="766">
        <f t="shared" si="0"/>
        <v>1680000</v>
      </c>
      <c r="V28" s="459"/>
      <c r="W28" s="38"/>
      <c r="X28" s="38"/>
      <c r="Y28" s="38"/>
      <c r="Z28" s="38"/>
      <c r="AA28" s="38"/>
      <c r="AB28" s="38"/>
    </row>
    <row r="29" spans="1:267" s="30" customFormat="1" ht="69" customHeight="1" x14ac:dyDescent="0.2">
      <c r="A29" s="745" t="s">
        <v>1306</v>
      </c>
      <c r="B29" s="745" t="s">
        <v>1307</v>
      </c>
      <c r="C29" s="742" t="s">
        <v>840</v>
      </c>
      <c r="D29" s="742" t="s">
        <v>361</v>
      </c>
      <c r="E29" s="743" t="s">
        <v>249</v>
      </c>
      <c r="F29" s="743" t="s">
        <v>131</v>
      </c>
      <c r="G29" s="744">
        <v>1</v>
      </c>
      <c r="H29" s="767">
        <f>27000*62.61</f>
        <v>1690470</v>
      </c>
      <c r="I29" s="774"/>
      <c r="J29" s="767"/>
      <c r="K29" s="767"/>
      <c r="L29" s="767"/>
      <c r="M29" s="767"/>
      <c r="N29" s="767">
        <f>+H29*G29</f>
        <v>1690470</v>
      </c>
      <c r="O29" s="767"/>
      <c r="P29" s="767"/>
      <c r="Q29" s="767"/>
      <c r="R29" s="767"/>
      <c r="S29" s="767"/>
      <c r="T29" s="767"/>
      <c r="U29" s="767">
        <f t="shared" si="0"/>
        <v>1690470</v>
      </c>
      <c r="V29" s="746"/>
      <c r="W29" s="38"/>
      <c r="X29" s="38"/>
      <c r="Y29" s="38"/>
      <c r="Z29" s="38"/>
      <c r="AA29" s="38"/>
      <c r="AB29" s="38"/>
    </row>
    <row r="30" spans="1:267" s="30" customFormat="1" ht="30" x14ac:dyDescent="0.2">
      <c r="A30" s="1083" t="s">
        <v>1310</v>
      </c>
      <c r="B30" s="1085" t="s">
        <v>1311</v>
      </c>
      <c r="C30" s="35" t="s">
        <v>50</v>
      </c>
      <c r="D30" s="747" t="s">
        <v>111</v>
      </c>
      <c r="E30" s="747" t="s">
        <v>69</v>
      </c>
      <c r="F30" s="748" t="s">
        <v>362</v>
      </c>
      <c r="G30" s="749">
        <v>2</v>
      </c>
      <c r="H30" s="783">
        <v>146000</v>
      </c>
      <c r="I30" s="784"/>
      <c r="J30" s="784"/>
      <c r="K30" s="783">
        <v>146000</v>
      </c>
      <c r="L30" s="784"/>
      <c r="M30" s="784"/>
      <c r="N30" s="783"/>
      <c r="O30" s="784"/>
      <c r="P30" s="784"/>
      <c r="Q30" s="783">
        <v>146000</v>
      </c>
      <c r="R30" s="784"/>
      <c r="S30" s="784"/>
      <c r="T30" s="784"/>
      <c r="U30" s="768">
        <f t="shared" si="0"/>
        <v>292000</v>
      </c>
      <c r="V30" s="750"/>
      <c r="W30" s="38"/>
      <c r="X30" s="38"/>
      <c r="Y30" s="38"/>
      <c r="Z30" s="38"/>
      <c r="AA30" s="38"/>
      <c r="AB30" s="38"/>
    </row>
    <row r="31" spans="1:267" s="30" customFormat="1" ht="30" x14ac:dyDescent="0.2">
      <c r="A31" s="1083"/>
      <c r="B31" s="1083"/>
      <c r="C31" s="35" t="s">
        <v>50</v>
      </c>
      <c r="D31" s="751" t="s">
        <v>1299</v>
      </c>
      <c r="E31" s="747" t="s">
        <v>69</v>
      </c>
      <c r="F31" s="748" t="s">
        <v>362</v>
      </c>
      <c r="G31" s="749">
        <v>2</v>
      </c>
      <c r="H31" s="783">
        <v>100000</v>
      </c>
      <c r="I31" s="784"/>
      <c r="J31" s="784"/>
      <c r="K31" s="783">
        <v>100000</v>
      </c>
      <c r="L31" s="784"/>
      <c r="M31" s="784"/>
      <c r="N31" s="783"/>
      <c r="O31" s="784"/>
      <c r="P31" s="784"/>
      <c r="Q31" s="783">
        <v>100000</v>
      </c>
      <c r="R31" s="784"/>
      <c r="S31" s="784"/>
      <c r="T31" s="784"/>
      <c r="U31" s="768">
        <f t="shared" si="0"/>
        <v>200000</v>
      </c>
      <c r="V31" s="750"/>
      <c r="W31" s="38"/>
      <c r="X31" s="38"/>
      <c r="Y31" s="38"/>
      <c r="Z31" s="38"/>
      <c r="AA31" s="38"/>
      <c r="AB31" s="38"/>
    </row>
    <row r="32" spans="1:267" s="30" customFormat="1" ht="45" x14ac:dyDescent="0.2">
      <c r="A32" s="1083"/>
      <c r="B32" s="1083"/>
      <c r="C32" s="739" t="s">
        <v>486</v>
      </c>
      <c r="D32" s="751" t="s">
        <v>364</v>
      </c>
      <c r="E32" s="752" t="s">
        <v>147</v>
      </c>
      <c r="F32" s="753" t="s">
        <v>131</v>
      </c>
      <c r="G32" s="754">
        <v>1</v>
      </c>
      <c r="H32" s="785">
        <v>15000</v>
      </c>
      <c r="I32" s="786"/>
      <c r="J32" s="769"/>
      <c r="K32" s="769">
        <f t="shared" ref="K32:K41" si="1">+G32*H32</f>
        <v>15000</v>
      </c>
      <c r="L32" s="769"/>
      <c r="M32" s="769"/>
      <c r="N32" s="769"/>
      <c r="O32" s="769"/>
      <c r="P32" s="769"/>
      <c r="Q32" s="769"/>
      <c r="R32" s="769"/>
      <c r="S32" s="769"/>
      <c r="T32" s="769"/>
      <c r="U32" s="768">
        <f t="shared" si="0"/>
        <v>15000</v>
      </c>
      <c r="V32" s="750"/>
      <c r="W32" s="38"/>
      <c r="X32" s="38"/>
      <c r="Y32" s="38"/>
      <c r="Z32" s="38"/>
      <c r="AA32" s="38"/>
      <c r="AB32" s="38"/>
    </row>
    <row r="33" spans="1:267" s="39" customFormat="1" ht="45" x14ac:dyDescent="0.2">
      <c r="A33" s="1083"/>
      <c r="B33" s="1083"/>
      <c r="C33" s="739" t="s">
        <v>486</v>
      </c>
      <c r="D33" s="755" t="s">
        <v>365</v>
      </c>
      <c r="E33" s="752" t="s">
        <v>147</v>
      </c>
      <c r="F33" s="753" t="s">
        <v>131</v>
      </c>
      <c r="G33" s="756">
        <v>1</v>
      </c>
      <c r="H33" s="787">
        <v>6000</v>
      </c>
      <c r="I33" s="786"/>
      <c r="J33" s="769"/>
      <c r="K33" s="769">
        <f t="shared" si="1"/>
        <v>6000</v>
      </c>
      <c r="L33" s="769"/>
      <c r="M33" s="769"/>
      <c r="N33" s="769"/>
      <c r="O33" s="769"/>
      <c r="P33" s="769"/>
      <c r="Q33" s="769"/>
      <c r="R33" s="769"/>
      <c r="S33" s="769"/>
      <c r="T33" s="769"/>
      <c r="U33" s="768">
        <f t="shared" si="0"/>
        <v>6000</v>
      </c>
      <c r="V33" s="750"/>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c r="IX33" s="31"/>
      <c r="IY33" s="31"/>
      <c r="IZ33" s="31"/>
      <c r="JA33" s="31"/>
      <c r="JB33" s="31"/>
      <c r="JC33" s="31"/>
      <c r="JD33" s="31"/>
      <c r="JE33" s="31"/>
      <c r="JF33" s="31"/>
      <c r="JG33" s="31"/>
    </row>
    <row r="34" spans="1:267" s="30" customFormat="1" ht="45" x14ac:dyDescent="0.2">
      <c r="A34" s="1083"/>
      <c r="B34" s="1083"/>
      <c r="C34" s="739" t="s">
        <v>486</v>
      </c>
      <c r="D34" s="751" t="s">
        <v>366</v>
      </c>
      <c r="E34" s="747" t="s">
        <v>887</v>
      </c>
      <c r="F34" s="753" t="s">
        <v>131</v>
      </c>
      <c r="G34" s="754">
        <v>30</v>
      </c>
      <c r="H34" s="785">
        <v>700</v>
      </c>
      <c r="I34" s="784"/>
      <c r="J34" s="784"/>
      <c r="K34" s="769">
        <f t="shared" si="1"/>
        <v>21000</v>
      </c>
      <c r="L34" s="784"/>
      <c r="M34" s="784"/>
      <c r="N34" s="783"/>
      <c r="O34" s="784"/>
      <c r="P34" s="784"/>
      <c r="Q34" s="784"/>
      <c r="R34" s="784"/>
      <c r="S34" s="784"/>
      <c r="T34" s="784"/>
      <c r="U34" s="768">
        <f t="shared" si="0"/>
        <v>21000</v>
      </c>
      <c r="V34" s="750"/>
      <c r="W34" s="38"/>
      <c r="X34" s="38"/>
      <c r="Y34" s="38"/>
      <c r="Z34" s="38"/>
      <c r="AA34" s="38"/>
      <c r="AB34" s="38"/>
    </row>
    <row r="35" spans="1:267" s="39" customFormat="1" ht="45" x14ac:dyDescent="0.2">
      <c r="A35" s="1083"/>
      <c r="B35" s="1083"/>
      <c r="C35" s="739" t="s">
        <v>486</v>
      </c>
      <c r="D35" s="751" t="s">
        <v>367</v>
      </c>
      <c r="E35" s="752" t="s">
        <v>887</v>
      </c>
      <c r="F35" s="753" t="s">
        <v>131</v>
      </c>
      <c r="G35" s="754">
        <v>30</v>
      </c>
      <c r="H35" s="785">
        <v>500</v>
      </c>
      <c r="I35" s="786"/>
      <c r="J35" s="769"/>
      <c r="K35" s="769">
        <f t="shared" si="1"/>
        <v>15000</v>
      </c>
      <c r="L35" s="769"/>
      <c r="M35" s="769"/>
      <c r="N35" s="769"/>
      <c r="O35" s="769"/>
      <c r="P35" s="769"/>
      <c r="Q35" s="769"/>
      <c r="R35" s="769"/>
      <c r="S35" s="769"/>
      <c r="T35" s="769"/>
      <c r="U35" s="768">
        <f t="shared" si="0"/>
        <v>15000</v>
      </c>
      <c r="V35" s="750"/>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c r="IX35" s="31"/>
      <c r="IY35" s="31"/>
      <c r="IZ35" s="31"/>
      <c r="JA35" s="31"/>
      <c r="JB35" s="31"/>
      <c r="JC35" s="31"/>
      <c r="JD35" s="31"/>
      <c r="JE35" s="31"/>
      <c r="JF35" s="31"/>
      <c r="JG35" s="31"/>
    </row>
    <row r="36" spans="1:267" s="31" customFormat="1" ht="45" x14ac:dyDescent="0.2">
      <c r="A36" s="1083"/>
      <c r="B36" s="1083"/>
      <c r="C36" s="739" t="s">
        <v>486</v>
      </c>
      <c r="D36" s="755" t="s">
        <v>368</v>
      </c>
      <c r="E36" s="752" t="s">
        <v>52</v>
      </c>
      <c r="F36" s="753" t="s">
        <v>131</v>
      </c>
      <c r="G36" s="756">
        <v>10</v>
      </c>
      <c r="H36" s="787">
        <v>5000</v>
      </c>
      <c r="I36" s="786"/>
      <c r="J36" s="769"/>
      <c r="K36" s="769">
        <f t="shared" si="1"/>
        <v>50000</v>
      </c>
      <c r="L36" s="769"/>
      <c r="M36" s="769"/>
      <c r="N36" s="769"/>
      <c r="O36" s="769"/>
      <c r="P36" s="769"/>
      <c r="Q36" s="769"/>
      <c r="R36" s="769"/>
      <c r="S36" s="769"/>
      <c r="T36" s="769"/>
      <c r="U36" s="768">
        <f t="shared" si="0"/>
        <v>50000</v>
      </c>
      <c r="V36" s="750"/>
    </row>
    <row r="37" spans="1:267" s="30" customFormat="1" ht="45" x14ac:dyDescent="0.2">
      <c r="A37" s="1083"/>
      <c r="B37" s="1083"/>
      <c r="C37" s="739" t="s">
        <v>486</v>
      </c>
      <c r="D37" s="755" t="s">
        <v>369</v>
      </c>
      <c r="E37" s="747" t="s">
        <v>52</v>
      </c>
      <c r="F37" s="753" t="s">
        <v>131</v>
      </c>
      <c r="G37" s="756">
        <v>2</v>
      </c>
      <c r="H37" s="787">
        <v>10000</v>
      </c>
      <c r="I37" s="784"/>
      <c r="J37" s="784"/>
      <c r="K37" s="769">
        <f t="shared" si="1"/>
        <v>20000</v>
      </c>
      <c r="L37" s="784"/>
      <c r="M37" s="784"/>
      <c r="N37" s="783"/>
      <c r="O37" s="784"/>
      <c r="P37" s="784"/>
      <c r="Q37" s="784"/>
      <c r="R37" s="784"/>
      <c r="S37" s="784"/>
      <c r="T37" s="784"/>
      <c r="U37" s="768">
        <f t="shared" si="0"/>
        <v>20000</v>
      </c>
      <c r="V37" s="750"/>
      <c r="W37" s="38"/>
      <c r="X37" s="38"/>
      <c r="Y37" s="38"/>
      <c r="Z37" s="38"/>
      <c r="AA37" s="38"/>
      <c r="AB37" s="38"/>
    </row>
    <row r="38" spans="1:267" s="30" customFormat="1" ht="45" x14ac:dyDescent="0.2">
      <c r="A38" s="1083"/>
      <c r="B38" s="1083"/>
      <c r="C38" s="739" t="s">
        <v>486</v>
      </c>
      <c r="D38" s="755" t="s">
        <v>370</v>
      </c>
      <c r="E38" s="747" t="s">
        <v>165</v>
      </c>
      <c r="F38" s="753" t="s">
        <v>131</v>
      </c>
      <c r="G38" s="756">
        <v>100</v>
      </c>
      <c r="H38" s="787">
        <v>200</v>
      </c>
      <c r="I38" s="784"/>
      <c r="J38" s="784"/>
      <c r="K38" s="769">
        <f t="shared" si="1"/>
        <v>20000</v>
      </c>
      <c r="L38" s="784"/>
      <c r="M38" s="784"/>
      <c r="N38" s="783"/>
      <c r="O38" s="784"/>
      <c r="P38" s="784"/>
      <c r="Q38" s="784"/>
      <c r="R38" s="784"/>
      <c r="S38" s="784"/>
      <c r="T38" s="784"/>
      <c r="U38" s="768">
        <f t="shared" si="0"/>
        <v>20000</v>
      </c>
      <c r="V38" s="750"/>
      <c r="W38" s="38"/>
      <c r="X38" s="38"/>
      <c r="Y38" s="38"/>
      <c r="Z38" s="38"/>
      <c r="AA38" s="38"/>
      <c r="AB38" s="38"/>
    </row>
    <row r="39" spans="1:267" s="30" customFormat="1" ht="45" x14ac:dyDescent="0.2">
      <c r="A39" s="1083"/>
      <c r="B39" s="1083"/>
      <c r="C39" s="739" t="s">
        <v>486</v>
      </c>
      <c r="D39" s="755" t="s">
        <v>371</v>
      </c>
      <c r="E39" s="747" t="s">
        <v>165</v>
      </c>
      <c r="F39" s="753" t="s">
        <v>372</v>
      </c>
      <c r="G39" s="756">
        <v>3</v>
      </c>
      <c r="H39" s="787">
        <v>4060</v>
      </c>
      <c r="I39" s="784"/>
      <c r="J39" s="784"/>
      <c r="K39" s="769">
        <f t="shared" si="1"/>
        <v>12180</v>
      </c>
      <c r="L39" s="784"/>
      <c r="M39" s="784"/>
      <c r="N39" s="783"/>
      <c r="O39" s="784"/>
      <c r="P39" s="784"/>
      <c r="Q39" s="784"/>
      <c r="R39" s="784"/>
      <c r="S39" s="784"/>
      <c r="T39" s="784"/>
      <c r="U39" s="768">
        <f t="shared" si="0"/>
        <v>12180</v>
      </c>
      <c r="V39" s="750"/>
      <c r="W39" s="38"/>
      <c r="X39" s="38"/>
      <c r="Y39" s="38"/>
      <c r="Z39" s="38"/>
      <c r="AA39" s="38"/>
      <c r="AB39" s="38"/>
    </row>
    <row r="40" spans="1:267" s="30" customFormat="1" ht="45" x14ac:dyDescent="0.2">
      <c r="A40" s="1083"/>
      <c r="B40" s="1083"/>
      <c r="C40" s="739" t="s">
        <v>486</v>
      </c>
      <c r="D40" s="751" t="s">
        <v>373</v>
      </c>
      <c r="E40" s="747" t="s">
        <v>165</v>
      </c>
      <c r="F40" s="753" t="s">
        <v>131</v>
      </c>
      <c r="G40" s="754">
        <v>3</v>
      </c>
      <c r="H40" s="785">
        <v>85000</v>
      </c>
      <c r="I40" s="784"/>
      <c r="J40" s="784"/>
      <c r="K40" s="769">
        <f t="shared" si="1"/>
        <v>255000</v>
      </c>
      <c r="L40" s="784"/>
      <c r="M40" s="784"/>
      <c r="N40" s="783"/>
      <c r="O40" s="784"/>
      <c r="P40" s="784"/>
      <c r="Q40" s="784"/>
      <c r="R40" s="784"/>
      <c r="S40" s="784"/>
      <c r="T40" s="784"/>
      <c r="U40" s="768">
        <f t="shared" si="0"/>
        <v>255000</v>
      </c>
      <c r="V40" s="750"/>
      <c r="W40" s="38"/>
      <c r="X40" s="38"/>
      <c r="Y40" s="38"/>
      <c r="Z40" s="38"/>
      <c r="AA40" s="38"/>
      <c r="AB40" s="38"/>
    </row>
    <row r="41" spans="1:267" s="30" customFormat="1" ht="45" x14ac:dyDescent="0.2">
      <c r="A41" s="1083"/>
      <c r="B41" s="1084"/>
      <c r="C41" s="739" t="s">
        <v>486</v>
      </c>
      <c r="D41" s="751" t="s">
        <v>374</v>
      </c>
      <c r="E41" s="747" t="s">
        <v>165</v>
      </c>
      <c r="F41" s="753" t="s">
        <v>131</v>
      </c>
      <c r="G41" s="754">
        <v>50</v>
      </c>
      <c r="H41" s="785">
        <v>1700</v>
      </c>
      <c r="I41" s="784"/>
      <c r="J41" s="784"/>
      <c r="K41" s="769">
        <f t="shared" si="1"/>
        <v>85000</v>
      </c>
      <c r="L41" s="784"/>
      <c r="M41" s="784"/>
      <c r="N41" s="783"/>
      <c r="O41" s="784"/>
      <c r="P41" s="784"/>
      <c r="Q41" s="784"/>
      <c r="R41" s="784"/>
      <c r="S41" s="784"/>
      <c r="T41" s="784"/>
      <c r="U41" s="768">
        <f t="shared" si="0"/>
        <v>85000</v>
      </c>
      <c r="V41" s="750"/>
      <c r="W41" s="38"/>
      <c r="X41" s="38"/>
      <c r="Y41" s="38"/>
      <c r="Z41" s="38"/>
      <c r="AA41" s="38"/>
      <c r="AB41" s="38"/>
    </row>
    <row r="42" spans="1:267" s="30" customFormat="1" ht="15" x14ac:dyDescent="0.2">
      <c r="A42" s="1083"/>
      <c r="B42" s="1085" t="s">
        <v>1337</v>
      </c>
      <c r="C42" s="757" t="s">
        <v>358</v>
      </c>
      <c r="D42" s="758" t="s">
        <v>375</v>
      </c>
      <c r="E42" s="759" t="s">
        <v>249</v>
      </c>
      <c r="F42" s="759" t="s">
        <v>131</v>
      </c>
      <c r="G42" s="760">
        <v>1</v>
      </c>
      <c r="H42" s="768">
        <f>200000</f>
        <v>200000</v>
      </c>
      <c r="I42" s="784"/>
      <c r="J42" s="784"/>
      <c r="K42" s="788"/>
      <c r="L42" s="784"/>
      <c r="M42" s="784"/>
      <c r="N42" s="783">
        <v>200000</v>
      </c>
      <c r="O42" s="784"/>
      <c r="P42" s="784"/>
      <c r="Q42" s="784"/>
      <c r="R42" s="784"/>
      <c r="S42" s="784"/>
      <c r="T42" s="784"/>
      <c r="U42" s="768">
        <f t="shared" si="0"/>
        <v>200000</v>
      </c>
      <c r="V42" s="761"/>
      <c r="W42" s="38"/>
      <c r="X42" s="38"/>
      <c r="Y42" s="38"/>
      <c r="Z42" s="38"/>
      <c r="AA42" s="38"/>
      <c r="AB42" s="38"/>
    </row>
    <row r="43" spans="1:267" s="30" customFormat="1" ht="30" x14ac:dyDescent="0.2">
      <c r="A43" s="1083"/>
      <c r="B43" s="1083"/>
      <c r="C43" s="757" t="s">
        <v>358</v>
      </c>
      <c r="D43" s="758" t="s">
        <v>657</v>
      </c>
      <c r="E43" s="759" t="s">
        <v>249</v>
      </c>
      <c r="F43" s="759" t="s">
        <v>131</v>
      </c>
      <c r="G43" s="760">
        <v>10</v>
      </c>
      <c r="H43" s="768">
        <f>(60000*1.18)</f>
        <v>70800</v>
      </c>
      <c r="I43" s="784"/>
      <c r="J43" s="784"/>
      <c r="K43" s="784"/>
      <c r="L43" s="784"/>
      <c r="M43" s="784"/>
      <c r="N43" s="769">
        <f>+H43*G43</f>
        <v>708000</v>
      </c>
      <c r="O43" s="784"/>
      <c r="P43" s="784"/>
      <c r="Q43" s="784"/>
      <c r="R43" s="784"/>
      <c r="S43" s="784"/>
      <c r="T43" s="784"/>
      <c r="U43" s="768">
        <f t="shared" si="0"/>
        <v>708000</v>
      </c>
      <c r="V43" s="761"/>
      <c r="W43" s="38"/>
      <c r="X43" s="38"/>
      <c r="Y43" s="38"/>
      <c r="Z43" s="38"/>
      <c r="AA43" s="38"/>
      <c r="AB43" s="38"/>
    </row>
    <row r="44" spans="1:267" s="30" customFormat="1" ht="15" x14ac:dyDescent="0.2">
      <c r="A44" s="1083"/>
      <c r="B44" s="1083"/>
      <c r="C44" s="757" t="s">
        <v>358</v>
      </c>
      <c r="D44" s="758" t="s">
        <v>376</v>
      </c>
      <c r="E44" s="759" t="s">
        <v>249</v>
      </c>
      <c r="F44" s="759" t="s">
        <v>131</v>
      </c>
      <c r="G44" s="760">
        <v>75</v>
      </c>
      <c r="H44" s="768">
        <f>(60000*1.18)</f>
        <v>70800</v>
      </c>
      <c r="I44" s="784"/>
      <c r="J44" s="784"/>
      <c r="K44" s="788"/>
      <c r="L44" s="784"/>
      <c r="M44" s="784"/>
      <c r="N44" s="783">
        <f>G44*H44</f>
        <v>5310000</v>
      </c>
      <c r="O44" s="784"/>
      <c r="P44" s="784"/>
      <c r="Q44" s="784"/>
      <c r="R44" s="784"/>
      <c r="S44" s="784"/>
      <c r="T44" s="784"/>
      <c r="U44" s="768">
        <f t="shared" si="0"/>
        <v>5310000</v>
      </c>
      <c r="V44" s="761"/>
      <c r="W44" s="38"/>
      <c r="X44" s="38"/>
      <c r="Y44" s="38"/>
      <c r="Z44" s="38"/>
      <c r="AA44" s="38"/>
      <c r="AB44" s="38"/>
    </row>
    <row r="45" spans="1:267" s="30" customFormat="1" ht="45" x14ac:dyDescent="0.2">
      <c r="A45" s="1083"/>
      <c r="B45" s="1083"/>
      <c r="C45" s="757" t="s">
        <v>358</v>
      </c>
      <c r="D45" s="758" t="s">
        <v>658</v>
      </c>
      <c r="E45" s="759" t="s">
        <v>249</v>
      </c>
      <c r="F45" s="759" t="s">
        <v>131</v>
      </c>
      <c r="G45" s="760">
        <v>10</v>
      </c>
      <c r="H45" s="768">
        <f>(25000*1.18)</f>
        <v>29500</v>
      </c>
      <c r="I45" s="784"/>
      <c r="J45" s="784"/>
      <c r="K45" s="788"/>
      <c r="L45" s="784"/>
      <c r="M45" s="784"/>
      <c r="N45" s="783">
        <f>+H45*G45</f>
        <v>295000</v>
      </c>
      <c r="O45" s="784"/>
      <c r="P45" s="784"/>
      <c r="Q45" s="784"/>
      <c r="R45" s="784"/>
      <c r="S45" s="784"/>
      <c r="T45" s="784"/>
      <c r="U45" s="768">
        <f t="shared" si="0"/>
        <v>295000</v>
      </c>
      <c r="V45" s="761"/>
      <c r="W45" s="38"/>
      <c r="X45" s="38"/>
      <c r="Y45" s="38"/>
      <c r="Z45" s="38"/>
      <c r="AA45" s="38"/>
      <c r="AB45" s="38"/>
    </row>
    <row r="46" spans="1:267" s="30" customFormat="1" ht="30" x14ac:dyDescent="0.2">
      <c r="A46" s="1083"/>
      <c r="B46" s="1083"/>
      <c r="C46" s="757" t="s">
        <v>358</v>
      </c>
      <c r="D46" s="758" t="s">
        <v>659</v>
      </c>
      <c r="E46" s="759" t="s">
        <v>249</v>
      </c>
      <c r="F46" s="759" t="s">
        <v>131</v>
      </c>
      <c r="G46" s="760">
        <v>10</v>
      </c>
      <c r="H46" s="768">
        <f>(50000*1.18)</f>
        <v>59000</v>
      </c>
      <c r="I46" s="784"/>
      <c r="J46" s="784"/>
      <c r="K46" s="788"/>
      <c r="L46" s="784"/>
      <c r="M46" s="784"/>
      <c r="N46" s="783">
        <f>+H46*G46</f>
        <v>590000</v>
      </c>
      <c r="O46" s="784"/>
      <c r="P46" s="784"/>
      <c r="Q46" s="784"/>
      <c r="R46" s="784"/>
      <c r="S46" s="784"/>
      <c r="T46" s="784"/>
      <c r="U46" s="768">
        <f t="shared" si="0"/>
        <v>590000</v>
      </c>
      <c r="V46" s="761"/>
      <c r="W46" s="38"/>
      <c r="X46" s="38"/>
      <c r="Y46" s="38"/>
      <c r="Z46" s="38"/>
      <c r="AA46" s="38"/>
      <c r="AB46" s="38"/>
    </row>
    <row r="47" spans="1:267" s="30" customFormat="1" ht="60" x14ac:dyDescent="0.2">
      <c r="A47" s="1083"/>
      <c r="B47" s="1083"/>
      <c r="C47" s="757" t="s">
        <v>358</v>
      </c>
      <c r="D47" s="758" t="s">
        <v>660</v>
      </c>
      <c r="E47" s="759" t="s">
        <v>249</v>
      </c>
      <c r="F47" s="759" t="s">
        <v>131</v>
      </c>
      <c r="G47" s="760">
        <v>22</v>
      </c>
      <c r="H47" s="768">
        <f>12000*1.18</f>
        <v>14160</v>
      </c>
      <c r="I47" s="784"/>
      <c r="J47" s="784"/>
      <c r="K47" s="788"/>
      <c r="L47" s="784"/>
      <c r="M47" s="784"/>
      <c r="N47" s="783">
        <f>+H47*G47</f>
        <v>311520</v>
      </c>
      <c r="O47" s="784"/>
      <c r="P47" s="784"/>
      <c r="Q47" s="784"/>
      <c r="R47" s="784"/>
      <c r="S47" s="784"/>
      <c r="T47" s="784"/>
      <c r="U47" s="768">
        <f t="shared" si="0"/>
        <v>311520</v>
      </c>
      <c r="V47" s="761"/>
      <c r="W47" s="38"/>
      <c r="X47" s="38"/>
      <c r="Y47" s="38"/>
      <c r="Z47" s="38"/>
      <c r="AA47" s="38"/>
      <c r="AB47" s="38"/>
    </row>
    <row r="48" spans="1:267" s="30" customFormat="1" ht="45" x14ac:dyDescent="0.2">
      <c r="A48" s="1083"/>
      <c r="B48" s="1083"/>
      <c r="C48" s="757" t="s">
        <v>358</v>
      </c>
      <c r="D48" s="758" t="s">
        <v>661</v>
      </c>
      <c r="E48" s="759" t="s">
        <v>249</v>
      </c>
      <c r="F48" s="759" t="s">
        <v>131</v>
      </c>
      <c r="G48" s="760">
        <v>22</v>
      </c>
      <c r="H48" s="768">
        <f>5000*1.18</f>
        <v>5900</v>
      </c>
      <c r="I48" s="784"/>
      <c r="J48" s="784"/>
      <c r="K48" s="788"/>
      <c r="L48" s="784"/>
      <c r="M48" s="784"/>
      <c r="N48" s="783">
        <f>+H48*G48</f>
        <v>129800</v>
      </c>
      <c r="O48" s="784"/>
      <c r="P48" s="784"/>
      <c r="Q48" s="784"/>
      <c r="R48" s="784"/>
      <c r="S48" s="784"/>
      <c r="T48" s="784"/>
      <c r="U48" s="768">
        <f t="shared" si="0"/>
        <v>129800</v>
      </c>
      <c r="V48" s="761"/>
      <c r="W48" s="38"/>
      <c r="X48" s="38"/>
      <c r="Y48" s="38"/>
      <c r="Z48" s="38"/>
      <c r="AA48" s="38"/>
      <c r="AB48" s="38"/>
    </row>
    <row r="49" spans="1:267" s="39" customFormat="1" ht="15" x14ac:dyDescent="0.2">
      <c r="A49" s="1083"/>
      <c r="B49" s="1083"/>
      <c r="C49" s="757" t="s">
        <v>358</v>
      </c>
      <c r="D49" s="758" t="s">
        <v>377</v>
      </c>
      <c r="E49" s="759" t="s">
        <v>249</v>
      </c>
      <c r="F49" s="759" t="s">
        <v>131</v>
      </c>
      <c r="G49" s="762">
        <v>78</v>
      </c>
      <c r="H49" s="768">
        <f>6000*1.18</f>
        <v>7080</v>
      </c>
      <c r="I49" s="786"/>
      <c r="J49" s="769"/>
      <c r="K49" s="789"/>
      <c r="L49" s="769"/>
      <c r="M49" s="769"/>
      <c r="N49" s="769">
        <f t="shared" ref="N49:N54" si="2">G49*H49</f>
        <v>552240</v>
      </c>
      <c r="O49" s="769"/>
      <c r="P49" s="769"/>
      <c r="Q49" s="769"/>
      <c r="R49" s="769"/>
      <c r="S49" s="769"/>
      <c r="T49" s="769"/>
      <c r="U49" s="768">
        <f t="shared" si="0"/>
        <v>552240</v>
      </c>
      <c r="V49" s="76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c r="IW49" s="31"/>
      <c r="IX49" s="31"/>
      <c r="IY49" s="31"/>
      <c r="IZ49" s="31"/>
      <c r="JA49" s="31"/>
      <c r="JB49" s="31"/>
      <c r="JC49" s="31"/>
      <c r="JD49" s="31"/>
      <c r="JE49" s="31"/>
      <c r="JF49" s="31"/>
      <c r="JG49" s="31"/>
    </row>
    <row r="50" spans="1:267" s="30" customFormat="1" ht="15" x14ac:dyDescent="0.2">
      <c r="A50" s="1083"/>
      <c r="B50" s="1083"/>
      <c r="C50" s="757" t="s">
        <v>358</v>
      </c>
      <c r="D50" s="758" t="s">
        <v>378</v>
      </c>
      <c r="E50" s="759" t="s">
        <v>249</v>
      </c>
      <c r="F50" s="759" t="s">
        <v>131</v>
      </c>
      <c r="G50" s="760">
        <v>60</v>
      </c>
      <c r="H50" s="768">
        <f>12000*1.18</f>
        <v>14160</v>
      </c>
      <c r="I50" s="784"/>
      <c r="J50" s="784"/>
      <c r="K50" s="788"/>
      <c r="L50" s="784"/>
      <c r="M50" s="784"/>
      <c r="N50" s="783">
        <f t="shared" si="2"/>
        <v>849600</v>
      </c>
      <c r="O50" s="784"/>
      <c r="P50" s="784"/>
      <c r="Q50" s="784"/>
      <c r="R50" s="784"/>
      <c r="S50" s="784"/>
      <c r="T50" s="784"/>
      <c r="U50" s="768">
        <f t="shared" si="0"/>
        <v>849600</v>
      </c>
      <c r="V50" s="761"/>
      <c r="W50" s="38"/>
      <c r="X50" s="38"/>
      <c r="Y50" s="38"/>
      <c r="Z50" s="38"/>
      <c r="AA50" s="38"/>
      <c r="AB50" s="38"/>
    </row>
    <row r="51" spans="1:267" s="30" customFormat="1" ht="15" x14ac:dyDescent="0.2">
      <c r="A51" s="1083"/>
      <c r="B51" s="1083"/>
      <c r="C51" s="757" t="s">
        <v>358</v>
      </c>
      <c r="D51" s="758" t="s">
        <v>379</v>
      </c>
      <c r="E51" s="759" t="s">
        <v>249</v>
      </c>
      <c r="F51" s="759" t="s">
        <v>131</v>
      </c>
      <c r="G51" s="760">
        <v>25</v>
      </c>
      <c r="H51" s="768">
        <f>80000*1.18</f>
        <v>94400</v>
      </c>
      <c r="I51" s="784"/>
      <c r="J51" s="784"/>
      <c r="K51" s="788"/>
      <c r="L51" s="784"/>
      <c r="M51" s="784"/>
      <c r="N51" s="783">
        <f t="shared" si="2"/>
        <v>2360000</v>
      </c>
      <c r="O51" s="784"/>
      <c r="P51" s="784"/>
      <c r="Q51" s="784"/>
      <c r="R51" s="784"/>
      <c r="S51" s="784"/>
      <c r="T51" s="784"/>
      <c r="U51" s="768">
        <f t="shared" si="0"/>
        <v>2360000</v>
      </c>
      <c r="V51" s="761"/>
      <c r="W51" s="38"/>
      <c r="X51" s="38"/>
      <c r="Y51" s="38"/>
      <c r="Z51" s="38"/>
      <c r="AA51" s="38"/>
      <c r="AB51" s="38"/>
    </row>
    <row r="52" spans="1:267" s="30" customFormat="1" ht="45" x14ac:dyDescent="0.2">
      <c r="A52" s="1083"/>
      <c r="B52" s="1083"/>
      <c r="C52" s="757" t="s">
        <v>358</v>
      </c>
      <c r="D52" s="758" t="s">
        <v>662</v>
      </c>
      <c r="E52" s="759" t="s">
        <v>249</v>
      </c>
      <c r="F52" s="759" t="s">
        <v>131</v>
      </c>
      <c r="G52" s="760">
        <v>10</v>
      </c>
      <c r="H52" s="768">
        <f>25000*1.18</f>
        <v>29500</v>
      </c>
      <c r="I52" s="784"/>
      <c r="J52" s="784"/>
      <c r="K52" s="788"/>
      <c r="L52" s="784"/>
      <c r="M52" s="784"/>
      <c r="N52" s="783">
        <f t="shared" si="2"/>
        <v>295000</v>
      </c>
      <c r="O52" s="784"/>
      <c r="P52" s="784"/>
      <c r="Q52" s="784"/>
      <c r="R52" s="784"/>
      <c r="S52" s="784"/>
      <c r="T52" s="784"/>
      <c r="U52" s="768">
        <f t="shared" si="0"/>
        <v>295000</v>
      </c>
      <c r="V52" s="761"/>
      <c r="W52" s="38"/>
      <c r="X52" s="38"/>
      <c r="Y52" s="38"/>
      <c r="Z52" s="38"/>
      <c r="AA52" s="38"/>
      <c r="AB52" s="38"/>
    </row>
    <row r="53" spans="1:267" s="30" customFormat="1" ht="15" x14ac:dyDescent="0.2">
      <c r="A53" s="1083"/>
      <c r="B53" s="1083"/>
      <c r="C53" s="757" t="s">
        <v>358</v>
      </c>
      <c r="D53" s="758" t="s">
        <v>380</v>
      </c>
      <c r="E53" s="759" t="s">
        <v>249</v>
      </c>
      <c r="F53" s="759" t="s">
        <v>131</v>
      </c>
      <c r="G53" s="760">
        <v>10</v>
      </c>
      <c r="H53" s="768">
        <f>137000</f>
        <v>137000</v>
      </c>
      <c r="I53" s="784"/>
      <c r="J53" s="784"/>
      <c r="K53" s="788"/>
      <c r="L53" s="784"/>
      <c r="M53" s="784"/>
      <c r="N53" s="783">
        <f t="shared" si="2"/>
        <v>1370000</v>
      </c>
      <c r="O53" s="784"/>
      <c r="P53" s="784"/>
      <c r="Q53" s="784"/>
      <c r="R53" s="784"/>
      <c r="S53" s="784"/>
      <c r="T53" s="784"/>
      <c r="U53" s="768">
        <f t="shared" si="0"/>
        <v>1370000</v>
      </c>
      <c r="V53" s="761"/>
      <c r="W53" s="38"/>
      <c r="X53" s="38"/>
      <c r="Y53" s="38"/>
      <c r="Z53" s="38"/>
      <c r="AA53" s="38"/>
      <c r="AB53" s="38"/>
    </row>
    <row r="54" spans="1:267" s="30" customFormat="1" ht="15" x14ac:dyDescent="0.2">
      <c r="A54" s="1083"/>
      <c r="B54" s="1083"/>
      <c r="C54" s="757" t="s">
        <v>358</v>
      </c>
      <c r="D54" s="758" t="s">
        <v>381</v>
      </c>
      <c r="E54" s="759" t="s">
        <v>249</v>
      </c>
      <c r="F54" s="759" t="s">
        <v>131</v>
      </c>
      <c r="G54" s="760">
        <v>130</v>
      </c>
      <c r="H54" s="768">
        <v>2000</v>
      </c>
      <c r="I54" s="784"/>
      <c r="J54" s="784"/>
      <c r="K54" s="788"/>
      <c r="L54" s="784"/>
      <c r="M54" s="784"/>
      <c r="N54" s="783">
        <f t="shared" si="2"/>
        <v>260000</v>
      </c>
      <c r="O54" s="784"/>
      <c r="P54" s="784"/>
      <c r="Q54" s="784"/>
      <c r="R54" s="784"/>
      <c r="S54" s="784"/>
      <c r="T54" s="784"/>
      <c r="U54" s="768">
        <f t="shared" si="0"/>
        <v>260000</v>
      </c>
      <c r="V54" s="761"/>
      <c r="W54" s="38"/>
      <c r="X54" s="38"/>
      <c r="Y54" s="38"/>
      <c r="Z54" s="38"/>
      <c r="AA54" s="38"/>
      <c r="AB54" s="38"/>
    </row>
    <row r="55" spans="1:267" s="30" customFormat="1" ht="15" x14ac:dyDescent="0.2">
      <c r="A55" s="1083"/>
      <c r="B55" s="1083"/>
      <c r="C55" s="757" t="s">
        <v>358</v>
      </c>
      <c r="D55" s="758" t="s">
        <v>382</v>
      </c>
      <c r="E55" s="759" t="s">
        <v>249</v>
      </c>
      <c r="F55" s="759" t="s">
        <v>131</v>
      </c>
      <c r="G55" s="760">
        <v>10</v>
      </c>
      <c r="H55" s="768">
        <v>25000</v>
      </c>
      <c r="I55" s="784"/>
      <c r="J55" s="784"/>
      <c r="K55" s="788"/>
      <c r="L55" s="784"/>
      <c r="M55" s="784"/>
      <c r="N55" s="783">
        <f>G55*H55</f>
        <v>250000</v>
      </c>
      <c r="O55" s="784"/>
      <c r="P55" s="784"/>
      <c r="Q55" s="784"/>
      <c r="R55" s="784"/>
      <c r="S55" s="784"/>
      <c r="T55" s="784"/>
      <c r="U55" s="768">
        <f t="shared" si="0"/>
        <v>250000</v>
      </c>
      <c r="V55" s="761"/>
      <c r="W55" s="38"/>
      <c r="X55" s="38"/>
      <c r="Y55" s="38"/>
      <c r="Z55" s="38"/>
      <c r="AA55" s="38"/>
      <c r="AB55" s="38"/>
    </row>
    <row r="56" spans="1:267" s="30" customFormat="1" ht="111" customHeight="1" x14ac:dyDescent="0.2">
      <c r="A56" s="1083"/>
      <c r="B56" s="1083"/>
      <c r="C56" s="757" t="s">
        <v>358</v>
      </c>
      <c r="D56" s="758" t="s">
        <v>383</v>
      </c>
      <c r="E56" s="759" t="s">
        <v>249</v>
      </c>
      <c r="F56" s="759" t="s">
        <v>131</v>
      </c>
      <c r="G56" s="760">
        <v>1</v>
      </c>
      <c r="H56" s="768">
        <f>35000*56</f>
        <v>1960000</v>
      </c>
      <c r="I56" s="784"/>
      <c r="J56" s="784"/>
      <c r="K56" s="769">
        <f>+H56*G56</f>
        <v>1960000</v>
      </c>
      <c r="L56" s="784"/>
      <c r="M56" s="784"/>
      <c r="N56" s="783"/>
      <c r="O56" s="784"/>
      <c r="P56" s="784"/>
      <c r="Q56" s="784"/>
      <c r="R56" s="784"/>
      <c r="S56" s="784"/>
      <c r="T56" s="784"/>
      <c r="U56" s="768">
        <f t="shared" si="0"/>
        <v>1960000</v>
      </c>
      <c r="V56" s="761"/>
      <c r="W56" s="38"/>
      <c r="X56" s="38"/>
      <c r="Y56" s="38"/>
      <c r="Z56" s="38"/>
      <c r="AA56" s="38"/>
      <c r="AB56" s="38"/>
    </row>
    <row r="57" spans="1:267" s="30" customFormat="1" ht="45" x14ac:dyDescent="0.2">
      <c r="A57" s="1083"/>
      <c r="B57" s="1084"/>
      <c r="C57" s="757" t="s">
        <v>358</v>
      </c>
      <c r="D57" s="758" t="s">
        <v>656</v>
      </c>
      <c r="E57" s="759" t="s">
        <v>249</v>
      </c>
      <c r="F57" s="759" t="s">
        <v>131</v>
      </c>
      <c r="G57" s="760">
        <v>10</v>
      </c>
      <c r="H57" s="768">
        <f>148624*1.18</f>
        <v>175376.31999999998</v>
      </c>
      <c r="I57" s="784"/>
      <c r="J57" s="784"/>
      <c r="K57" s="784"/>
      <c r="L57" s="784"/>
      <c r="M57" s="784"/>
      <c r="N57" s="783">
        <f>G57*H57</f>
        <v>1753763.1999999997</v>
      </c>
      <c r="O57" s="784"/>
      <c r="P57" s="784"/>
      <c r="Q57" s="784"/>
      <c r="R57" s="784"/>
      <c r="S57" s="784"/>
      <c r="T57" s="784"/>
      <c r="U57" s="768">
        <f t="shared" si="0"/>
        <v>1753763.1999999997</v>
      </c>
      <c r="V57" s="761"/>
      <c r="W57" s="38"/>
      <c r="X57" s="38"/>
      <c r="Y57" s="38"/>
      <c r="Z57" s="38"/>
      <c r="AA57" s="38"/>
      <c r="AB57" s="38"/>
    </row>
    <row r="58" spans="1:267" s="30" customFormat="1" ht="54" customHeight="1" x14ac:dyDescent="0.2">
      <c r="A58" s="1083"/>
      <c r="B58" s="1085" t="s">
        <v>1313</v>
      </c>
      <c r="C58" s="35" t="s">
        <v>486</v>
      </c>
      <c r="D58" s="747" t="s">
        <v>885</v>
      </c>
      <c r="E58" s="747" t="s">
        <v>94</v>
      </c>
      <c r="F58" s="748" t="s">
        <v>244</v>
      </c>
      <c r="G58" s="749">
        <v>1</v>
      </c>
      <c r="H58" s="783">
        <v>250000</v>
      </c>
      <c r="I58" s="784"/>
      <c r="J58" s="783"/>
      <c r="K58" s="784"/>
      <c r="L58" s="784"/>
      <c r="M58" s="784"/>
      <c r="N58" s="783"/>
      <c r="O58" s="784"/>
      <c r="P58" s="784"/>
      <c r="Q58" s="769">
        <f t="shared" ref="Q58:Q63" si="3">G58*H58</f>
        <v>250000</v>
      </c>
      <c r="R58" s="784"/>
      <c r="S58" s="784"/>
      <c r="T58" s="784"/>
      <c r="U58" s="769">
        <f t="shared" si="0"/>
        <v>250000</v>
      </c>
      <c r="V58" s="750"/>
      <c r="W58" s="38"/>
      <c r="X58" s="38"/>
      <c r="Y58" s="38"/>
      <c r="Z58" s="38"/>
      <c r="AA58" s="38"/>
      <c r="AB58" s="38"/>
    </row>
    <row r="59" spans="1:267" s="39" customFormat="1" ht="45" x14ac:dyDescent="0.2">
      <c r="A59" s="1083"/>
      <c r="B59" s="1083"/>
      <c r="C59" s="35" t="s">
        <v>486</v>
      </c>
      <c r="D59" s="747" t="s">
        <v>886</v>
      </c>
      <c r="E59" s="747" t="s">
        <v>94</v>
      </c>
      <c r="F59" s="748" t="s">
        <v>244</v>
      </c>
      <c r="G59" s="749">
        <v>1</v>
      </c>
      <c r="H59" s="783">
        <v>250000</v>
      </c>
      <c r="I59" s="784"/>
      <c r="J59" s="783"/>
      <c r="K59" s="784"/>
      <c r="L59" s="784"/>
      <c r="M59" s="784"/>
      <c r="N59" s="783"/>
      <c r="O59" s="784"/>
      <c r="P59" s="784"/>
      <c r="Q59" s="769">
        <f t="shared" si="3"/>
        <v>250000</v>
      </c>
      <c r="R59" s="784"/>
      <c r="S59" s="784"/>
      <c r="T59" s="784"/>
      <c r="U59" s="769">
        <f t="shared" si="0"/>
        <v>250000</v>
      </c>
      <c r="V59" s="750"/>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c r="IW59" s="31"/>
      <c r="IX59" s="31"/>
      <c r="IY59" s="31"/>
      <c r="IZ59" s="31"/>
      <c r="JA59" s="31"/>
      <c r="JB59" s="31"/>
      <c r="JC59" s="31"/>
      <c r="JD59" s="31"/>
      <c r="JE59" s="31"/>
      <c r="JF59" s="31"/>
      <c r="JG59" s="31"/>
    </row>
    <row r="60" spans="1:267" s="30" customFormat="1" ht="45" x14ac:dyDescent="0.2">
      <c r="A60" s="1083"/>
      <c r="B60" s="1083"/>
      <c r="C60" s="35" t="s">
        <v>50</v>
      </c>
      <c r="D60" s="747" t="s">
        <v>384</v>
      </c>
      <c r="E60" s="747" t="s">
        <v>94</v>
      </c>
      <c r="F60" s="748" t="s">
        <v>244</v>
      </c>
      <c r="G60" s="749">
        <v>1</v>
      </c>
      <c r="H60" s="783">
        <v>250000</v>
      </c>
      <c r="I60" s="784"/>
      <c r="J60" s="783"/>
      <c r="K60" s="784"/>
      <c r="L60" s="784"/>
      <c r="M60" s="784"/>
      <c r="N60" s="783"/>
      <c r="O60" s="784"/>
      <c r="P60" s="784"/>
      <c r="Q60" s="769">
        <f t="shared" si="3"/>
        <v>250000</v>
      </c>
      <c r="R60" s="784"/>
      <c r="S60" s="784"/>
      <c r="T60" s="784"/>
      <c r="U60" s="769">
        <f t="shared" si="0"/>
        <v>250000</v>
      </c>
      <c r="V60" s="750"/>
      <c r="W60" s="38"/>
      <c r="X60" s="38"/>
      <c r="Y60" s="38"/>
      <c r="Z60" s="38"/>
      <c r="AA60" s="38"/>
      <c r="AB60" s="38"/>
    </row>
    <row r="61" spans="1:267" s="39" customFormat="1" ht="45" x14ac:dyDescent="0.2">
      <c r="A61" s="1083"/>
      <c r="B61" s="1083"/>
      <c r="C61" s="35" t="s">
        <v>50</v>
      </c>
      <c r="D61" s="747" t="s">
        <v>385</v>
      </c>
      <c r="E61" s="747" t="s">
        <v>390</v>
      </c>
      <c r="F61" s="748" t="s">
        <v>244</v>
      </c>
      <c r="G61" s="749">
        <v>1</v>
      </c>
      <c r="H61" s="783">
        <v>250000</v>
      </c>
      <c r="I61" s="784"/>
      <c r="J61" s="783"/>
      <c r="K61" s="784"/>
      <c r="L61" s="784"/>
      <c r="M61" s="784"/>
      <c r="N61" s="783"/>
      <c r="O61" s="784"/>
      <c r="P61" s="784"/>
      <c r="Q61" s="769">
        <f t="shared" si="3"/>
        <v>250000</v>
      </c>
      <c r="R61" s="784"/>
      <c r="S61" s="784"/>
      <c r="T61" s="784"/>
      <c r="U61" s="769">
        <f t="shared" si="0"/>
        <v>250000</v>
      </c>
      <c r="V61" s="750"/>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c r="IR61" s="31"/>
      <c r="IS61" s="31"/>
      <c r="IT61" s="31"/>
      <c r="IU61" s="31"/>
      <c r="IV61" s="31"/>
      <c r="IW61" s="31"/>
      <c r="IX61" s="31"/>
      <c r="IY61" s="31"/>
      <c r="IZ61" s="31"/>
      <c r="JA61" s="31"/>
      <c r="JB61" s="31"/>
      <c r="JC61" s="31"/>
      <c r="JD61" s="31"/>
      <c r="JE61" s="31"/>
      <c r="JF61" s="31"/>
      <c r="JG61" s="31"/>
    </row>
    <row r="62" spans="1:267" s="30" customFormat="1" ht="30" x14ac:dyDescent="0.2">
      <c r="A62" s="1083"/>
      <c r="B62" s="1083"/>
      <c r="C62" s="35" t="s">
        <v>50</v>
      </c>
      <c r="D62" s="747" t="s">
        <v>386</v>
      </c>
      <c r="E62" s="747" t="s">
        <v>390</v>
      </c>
      <c r="F62" s="748" t="s">
        <v>131</v>
      </c>
      <c r="G62" s="749">
        <v>10</v>
      </c>
      <c r="H62" s="783">
        <v>40000</v>
      </c>
      <c r="I62" s="784"/>
      <c r="J62" s="783"/>
      <c r="K62" s="784"/>
      <c r="L62" s="784"/>
      <c r="M62" s="784"/>
      <c r="N62" s="783"/>
      <c r="O62" s="784"/>
      <c r="P62" s="784"/>
      <c r="Q62" s="769">
        <f t="shared" si="3"/>
        <v>400000</v>
      </c>
      <c r="R62" s="784"/>
      <c r="S62" s="784"/>
      <c r="T62" s="784"/>
      <c r="U62" s="769">
        <f t="shared" si="0"/>
        <v>400000</v>
      </c>
      <c r="V62" s="750"/>
      <c r="W62" s="38"/>
      <c r="X62" s="38"/>
      <c r="Y62" s="38"/>
      <c r="Z62" s="38"/>
      <c r="AA62" s="38"/>
      <c r="AB62" s="38"/>
    </row>
    <row r="63" spans="1:267" s="39" customFormat="1" ht="45" x14ac:dyDescent="0.2">
      <c r="A63" s="1083"/>
      <c r="B63" s="1083"/>
      <c r="C63" s="35" t="s">
        <v>50</v>
      </c>
      <c r="D63" s="35" t="s">
        <v>387</v>
      </c>
      <c r="E63" s="752" t="s">
        <v>390</v>
      </c>
      <c r="F63" s="752" t="s">
        <v>131</v>
      </c>
      <c r="G63" s="763">
        <v>1</v>
      </c>
      <c r="H63" s="769">
        <v>1480820</v>
      </c>
      <c r="I63" s="786"/>
      <c r="J63" s="769"/>
      <c r="K63" s="769"/>
      <c r="L63" s="769"/>
      <c r="M63" s="769"/>
      <c r="N63" s="769"/>
      <c r="O63" s="769"/>
      <c r="P63" s="769"/>
      <c r="Q63" s="769">
        <f t="shared" si="3"/>
        <v>1480820</v>
      </c>
      <c r="R63" s="769"/>
      <c r="S63" s="769"/>
      <c r="T63" s="769"/>
      <c r="U63" s="769">
        <f t="shared" si="0"/>
        <v>1480820</v>
      </c>
      <c r="V63" s="750"/>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c r="IR63" s="31"/>
      <c r="IS63" s="31"/>
      <c r="IT63" s="31"/>
      <c r="IU63" s="31"/>
      <c r="IV63" s="31"/>
      <c r="IW63" s="31"/>
      <c r="IX63" s="31"/>
      <c r="IY63" s="31"/>
      <c r="IZ63" s="31"/>
      <c r="JA63" s="31"/>
      <c r="JB63" s="31"/>
      <c r="JC63" s="31"/>
      <c r="JD63" s="31"/>
      <c r="JE63" s="31"/>
      <c r="JF63" s="31"/>
      <c r="JG63" s="31"/>
    </row>
    <row r="64" spans="1:267" s="30" customFormat="1" ht="30" x14ac:dyDescent="0.2">
      <c r="A64" s="1083"/>
      <c r="B64" s="1083"/>
      <c r="C64" s="35" t="s">
        <v>50</v>
      </c>
      <c r="D64" s="747" t="s">
        <v>388</v>
      </c>
      <c r="E64" s="747" t="s">
        <v>390</v>
      </c>
      <c r="F64" s="748" t="s">
        <v>131</v>
      </c>
      <c r="G64" s="749">
        <v>1</v>
      </c>
      <c r="H64" s="783">
        <v>80000</v>
      </c>
      <c r="I64" s="784"/>
      <c r="J64" s="783"/>
      <c r="K64" s="783">
        <f>G64*H64</f>
        <v>80000</v>
      </c>
      <c r="L64" s="784"/>
      <c r="M64" s="784"/>
      <c r="N64" s="783"/>
      <c r="O64" s="784"/>
      <c r="P64" s="784"/>
      <c r="Q64" s="784"/>
      <c r="R64" s="784"/>
      <c r="S64" s="784"/>
      <c r="T64" s="784"/>
      <c r="U64" s="769">
        <f t="shared" si="0"/>
        <v>80000</v>
      </c>
      <c r="V64" s="750"/>
      <c r="W64" s="38"/>
      <c r="X64" s="38"/>
      <c r="Y64" s="38"/>
      <c r="Z64" s="38"/>
      <c r="AA64" s="38"/>
      <c r="AB64" s="38"/>
    </row>
    <row r="65" spans="1:267" s="30" customFormat="1" ht="30" x14ac:dyDescent="0.2">
      <c r="A65" s="1083"/>
      <c r="B65" s="1083"/>
      <c r="C65" s="35" t="s">
        <v>50</v>
      </c>
      <c r="D65" s="747" t="s">
        <v>389</v>
      </c>
      <c r="E65" s="747" t="s">
        <v>390</v>
      </c>
      <c r="F65" s="748" t="s">
        <v>131</v>
      </c>
      <c r="G65" s="749">
        <v>1</v>
      </c>
      <c r="H65" s="790">
        <v>140000</v>
      </c>
      <c r="I65" s="784"/>
      <c r="J65" s="784"/>
      <c r="K65" s="784"/>
      <c r="L65" s="784"/>
      <c r="M65" s="784"/>
      <c r="N65" s="783"/>
      <c r="O65" s="784">
        <f>G65*H65</f>
        <v>140000</v>
      </c>
      <c r="P65" s="784"/>
      <c r="Q65" s="784"/>
      <c r="R65" s="784"/>
      <c r="S65" s="784"/>
      <c r="T65" s="784"/>
      <c r="U65" s="769">
        <f t="shared" si="0"/>
        <v>140000</v>
      </c>
      <c r="V65" s="750"/>
      <c r="W65" s="38"/>
      <c r="X65" s="38"/>
      <c r="Y65" s="38"/>
      <c r="Z65" s="38"/>
      <c r="AA65" s="38"/>
      <c r="AB65" s="38"/>
    </row>
    <row r="66" spans="1:267" s="30" customFormat="1" ht="30" x14ac:dyDescent="0.2">
      <c r="A66" s="1083"/>
      <c r="B66" s="1083"/>
      <c r="C66" s="35" t="s">
        <v>50</v>
      </c>
      <c r="D66" s="747" t="s">
        <v>1298</v>
      </c>
      <c r="E66" s="747" t="s">
        <v>1340</v>
      </c>
      <c r="F66" s="748" t="s">
        <v>131</v>
      </c>
      <c r="G66" s="749">
        <v>2</v>
      </c>
      <c r="H66" s="790">
        <v>40000</v>
      </c>
      <c r="I66" s="784"/>
      <c r="J66" s="784">
        <f>2*H66</f>
        <v>80000</v>
      </c>
      <c r="K66" s="784"/>
      <c r="L66" s="784"/>
      <c r="M66" s="784"/>
      <c r="N66" s="783"/>
      <c r="O66" s="784"/>
      <c r="P66" s="784"/>
      <c r="Q66" s="784"/>
      <c r="R66" s="784"/>
      <c r="S66" s="784"/>
      <c r="T66" s="784"/>
      <c r="U66" s="769">
        <f t="shared" si="0"/>
        <v>80000</v>
      </c>
      <c r="V66" s="750"/>
      <c r="W66" s="38"/>
      <c r="X66" s="38"/>
      <c r="Y66" s="38"/>
      <c r="Z66" s="38"/>
      <c r="AA66" s="38"/>
      <c r="AB66" s="38"/>
    </row>
    <row r="67" spans="1:267" s="30" customFormat="1" ht="30" x14ac:dyDescent="0.2">
      <c r="A67" s="1083"/>
      <c r="B67" s="1084"/>
      <c r="C67" s="35" t="s">
        <v>840</v>
      </c>
      <c r="D67" s="747" t="s">
        <v>1298</v>
      </c>
      <c r="E67" s="759" t="s">
        <v>249</v>
      </c>
      <c r="F67" s="748" t="s">
        <v>131</v>
      </c>
      <c r="G67" s="749">
        <v>4</v>
      </c>
      <c r="H67" s="790">
        <f>40000</f>
        <v>40000</v>
      </c>
      <c r="I67" s="784"/>
      <c r="J67" s="784"/>
      <c r="K67" s="784"/>
      <c r="L67" s="784">
        <f>+H67*G67</f>
        <v>160000</v>
      </c>
      <c r="M67" s="784"/>
      <c r="N67" s="783"/>
      <c r="O67" s="784"/>
      <c r="P67" s="784"/>
      <c r="Q67" s="784"/>
      <c r="R67" s="784"/>
      <c r="S67" s="784"/>
      <c r="T67" s="784"/>
      <c r="U67" s="769">
        <f t="shared" si="0"/>
        <v>160000</v>
      </c>
      <c r="V67" s="750"/>
      <c r="W67" s="38"/>
      <c r="X67" s="38"/>
      <c r="Y67" s="38"/>
      <c r="Z67" s="38"/>
      <c r="AA67" s="38"/>
      <c r="AB67" s="38"/>
    </row>
    <row r="68" spans="1:267" s="39" customFormat="1" ht="42" customHeight="1" x14ac:dyDescent="0.2">
      <c r="A68" s="1083"/>
      <c r="B68" s="35" t="s">
        <v>1314</v>
      </c>
      <c r="C68" s="758" t="s">
        <v>358</v>
      </c>
      <c r="D68" s="758" t="s">
        <v>391</v>
      </c>
      <c r="E68" s="759" t="s">
        <v>249</v>
      </c>
      <c r="F68" s="759" t="s">
        <v>131</v>
      </c>
      <c r="G68" s="762">
        <v>2</v>
      </c>
      <c r="H68" s="768">
        <f>6700000</f>
        <v>6700000</v>
      </c>
      <c r="I68" s="786"/>
      <c r="J68" s="769"/>
      <c r="K68" s="769"/>
      <c r="L68" s="769"/>
      <c r="M68" s="769"/>
      <c r="N68" s="769"/>
      <c r="O68" s="769"/>
      <c r="P68" s="769">
        <f>+H68*G68</f>
        <v>13400000</v>
      </c>
      <c r="Q68" s="769"/>
      <c r="R68" s="769"/>
      <c r="S68" s="769"/>
      <c r="T68" s="769"/>
      <c r="U68" s="769">
        <f t="shared" si="0"/>
        <v>13400000</v>
      </c>
      <c r="V68" s="76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c r="IL68" s="31"/>
      <c r="IM68" s="31"/>
      <c r="IN68" s="31"/>
      <c r="IO68" s="31"/>
      <c r="IP68" s="31"/>
      <c r="IQ68" s="31"/>
      <c r="IR68" s="31"/>
      <c r="IS68" s="31"/>
      <c r="IT68" s="31"/>
      <c r="IU68" s="31"/>
      <c r="IV68" s="31"/>
      <c r="IW68" s="31"/>
      <c r="IX68" s="31"/>
      <c r="IY68" s="31"/>
      <c r="IZ68" s="31"/>
      <c r="JA68" s="31"/>
      <c r="JB68" s="31"/>
      <c r="JC68" s="31"/>
      <c r="JD68" s="31"/>
      <c r="JE68" s="31"/>
      <c r="JF68" s="31"/>
      <c r="JG68" s="31"/>
    </row>
    <row r="69" spans="1:267" s="30" customFormat="1" ht="28.5" customHeight="1" x14ac:dyDescent="0.2">
      <c r="A69" s="1083"/>
      <c r="B69" s="1086" t="s">
        <v>1315</v>
      </c>
      <c r="C69" s="35" t="s">
        <v>358</v>
      </c>
      <c r="D69" s="747" t="s">
        <v>392</v>
      </c>
      <c r="E69" s="747" t="s">
        <v>249</v>
      </c>
      <c r="F69" s="748" t="s">
        <v>131</v>
      </c>
      <c r="G69" s="749">
        <v>8</v>
      </c>
      <c r="H69" s="790">
        <f>1370000</f>
        <v>1370000</v>
      </c>
      <c r="I69" s="784"/>
      <c r="J69" s="784"/>
      <c r="K69" s="784"/>
      <c r="L69" s="784"/>
      <c r="M69" s="784"/>
      <c r="N69" s="783">
        <f>+H69*G69</f>
        <v>10960000</v>
      </c>
      <c r="O69" s="784"/>
      <c r="P69" s="784"/>
      <c r="Q69" s="784"/>
      <c r="R69" s="784"/>
      <c r="S69" s="784"/>
      <c r="T69" s="784"/>
      <c r="U69" s="769">
        <f t="shared" si="0"/>
        <v>10960000</v>
      </c>
      <c r="V69" s="764"/>
      <c r="W69" s="38"/>
      <c r="X69" s="38"/>
      <c r="Y69" s="38"/>
      <c r="Z69" s="38"/>
      <c r="AA69" s="38"/>
      <c r="AB69" s="38"/>
    </row>
    <row r="70" spans="1:267" s="39" customFormat="1" ht="60" customHeight="1" x14ac:dyDescent="0.2">
      <c r="A70" s="1083"/>
      <c r="B70" s="1087"/>
      <c r="C70" s="35" t="s">
        <v>358</v>
      </c>
      <c r="D70" s="747" t="s">
        <v>393</v>
      </c>
      <c r="E70" s="747" t="s">
        <v>249</v>
      </c>
      <c r="F70" s="748" t="s">
        <v>131</v>
      </c>
      <c r="G70" s="749">
        <v>2</v>
      </c>
      <c r="H70" s="790">
        <f>32920*56</f>
        <v>1843520</v>
      </c>
      <c r="I70" s="784"/>
      <c r="J70" s="784"/>
      <c r="K70" s="784"/>
      <c r="L70" s="784"/>
      <c r="M70" s="784"/>
      <c r="N70" s="783"/>
      <c r="O70" s="784"/>
      <c r="P70" s="784"/>
      <c r="Q70" s="784"/>
      <c r="R70" s="784"/>
      <c r="S70" s="784"/>
      <c r="T70" s="784">
        <f>+H70*G70</f>
        <v>3687040</v>
      </c>
      <c r="U70" s="769">
        <f t="shared" si="0"/>
        <v>3687040</v>
      </c>
      <c r="V70" s="750" t="s">
        <v>1297</v>
      </c>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c r="EO70" s="31"/>
      <c r="EP70" s="31"/>
      <c r="EQ70" s="31"/>
      <c r="ER70" s="31"/>
      <c r="ES70" s="31"/>
      <c r="ET70" s="31"/>
      <c r="EU70" s="31"/>
      <c r="EV70" s="31"/>
      <c r="EW70" s="31"/>
      <c r="EX70" s="31"/>
      <c r="EY70" s="31"/>
      <c r="EZ70" s="31"/>
      <c r="FA70" s="31"/>
      <c r="FB70" s="31"/>
      <c r="FC70" s="31"/>
      <c r="FD70" s="31"/>
      <c r="FE70" s="31"/>
      <c r="FF70" s="31"/>
      <c r="FG70" s="31"/>
      <c r="FH70" s="31"/>
      <c r="FI70" s="31"/>
      <c r="FJ70" s="31"/>
      <c r="FK70" s="31"/>
      <c r="FL70" s="31"/>
      <c r="FM70" s="31"/>
      <c r="FN70" s="31"/>
      <c r="FO70" s="31"/>
      <c r="FP70" s="31"/>
      <c r="FQ70" s="31"/>
      <c r="FR70" s="31"/>
      <c r="FS70" s="31"/>
      <c r="FT70" s="31"/>
      <c r="FU70" s="31"/>
      <c r="FV70" s="31"/>
      <c r="FW70" s="31"/>
      <c r="FX70" s="31"/>
      <c r="FY70" s="31"/>
      <c r="FZ70" s="31"/>
      <c r="GA70" s="31"/>
      <c r="GB70" s="31"/>
      <c r="GC70" s="31"/>
      <c r="GD70" s="31"/>
      <c r="GE70" s="31"/>
      <c r="GF70" s="31"/>
      <c r="GG70" s="31"/>
      <c r="GH70" s="31"/>
      <c r="GI70" s="31"/>
      <c r="GJ70" s="31"/>
      <c r="GK70" s="31"/>
      <c r="GL70" s="31"/>
      <c r="GM70" s="31"/>
      <c r="GN70" s="31"/>
      <c r="GO70" s="31"/>
      <c r="GP70" s="31"/>
      <c r="GQ70" s="31"/>
      <c r="GR70" s="31"/>
      <c r="GS70" s="31"/>
      <c r="GT70" s="31"/>
      <c r="GU70" s="31"/>
      <c r="GV70" s="31"/>
      <c r="GW70" s="31"/>
      <c r="GX70" s="31"/>
      <c r="GY70" s="31"/>
      <c r="GZ70" s="31"/>
      <c r="HA70" s="31"/>
      <c r="HB70" s="31"/>
      <c r="HC70" s="31"/>
      <c r="HD70" s="31"/>
      <c r="HE70" s="31"/>
      <c r="HF70" s="31"/>
      <c r="HG70" s="31"/>
      <c r="HH70" s="31"/>
      <c r="HI70" s="31"/>
      <c r="HJ70" s="31"/>
      <c r="HK70" s="31"/>
      <c r="HL70" s="31"/>
      <c r="HM70" s="31"/>
      <c r="HN70" s="31"/>
      <c r="HO70" s="31"/>
      <c r="HP70" s="31"/>
      <c r="HQ70" s="31"/>
      <c r="HR70" s="31"/>
      <c r="HS70" s="31"/>
      <c r="HT70" s="31"/>
      <c r="HU70" s="31"/>
      <c r="HV70" s="31"/>
      <c r="HW70" s="31"/>
      <c r="HX70" s="31"/>
      <c r="HY70" s="31"/>
      <c r="HZ70" s="31"/>
      <c r="IA70" s="31"/>
      <c r="IB70" s="31"/>
      <c r="IC70" s="31"/>
      <c r="ID70" s="31"/>
      <c r="IE70" s="31"/>
      <c r="IF70" s="31"/>
      <c r="IG70" s="31"/>
      <c r="IH70" s="31"/>
      <c r="II70" s="31"/>
      <c r="IJ70" s="31"/>
      <c r="IK70" s="31"/>
      <c r="IL70" s="31"/>
      <c r="IM70" s="31"/>
      <c r="IN70" s="31"/>
      <c r="IO70" s="31"/>
      <c r="IP70" s="31"/>
      <c r="IQ70" s="31"/>
      <c r="IR70" s="31"/>
      <c r="IS70" s="31"/>
      <c r="IT70" s="31"/>
      <c r="IU70" s="31"/>
      <c r="IV70" s="31"/>
      <c r="IW70" s="31"/>
      <c r="IX70" s="31"/>
      <c r="IY70" s="31"/>
      <c r="IZ70" s="31"/>
      <c r="JA70" s="31"/>
      <c r="JB70" s="31"/>
      <c r="JC70" s="31"/>
      <c r="JD70" s="31"/>
      <c r="JE70" s="31"/>
      <c r="JF70" s="31"/>
      <c r="JG70" s="31"/>
    </row>
    <row r="71" spans="1:267" s="30" customFormat="1" ht="30" x14ac:dyDescent="0.2">
      <c r="A71" s="1083"/>
      <c r="B71" s="1087"/>
      <c r="C71" s="35" t="s">
        <v>358</v>
      </c>
      <c r="D71" s="747" t="s">
        <v>394</v>
      </c>
      <c r="E71" s="747" t="s">
        <v>249</v>
      </c>
      <c r="F71" s="748" t="s">
        <v>131</v>
      </c>
      <c r="G71" s="749">
        <v>1</v>
      </c>
      <c r="H71" s="790">
        <f>1000000</f>
        <v>1000000</v>
      </c>
      <c r="I71" s="784"/>
      <c r="J71" s="784"/>
      <c r="K71" s="784"/>
      <c r="L71" s="784"/>
      <c r="M71" s="784"/>
      <c r="N71" s="783">
        <f>+H71*G71</f>
        <v>1000000</v>
      </c>
      <c r="O71" s="784"/>
      <c r="P71" s="784"/>
      <c r="Q71" s="784"/>
      <c r="R71" s="784"/>
      <c r="S71" s="784"/>
      <c r="T71" s="784"/>
      <c r="U71" s="769">
        <f t="shared" si="0"/>
        <v>1000000</v>
      </c>
      <c r="V71" s="764"/>
      <c r="W71" s="38"/>
      <c r="X71" s="38"/>
      <c r="Y71" s="38"/>
      <c r="Z71" s="38"/>
      <c r="AA71" s="38"/>
      <c r="AB71" s="38"/>
    </row>
    <row r="72" spans="1:267" s="39" customFormat="1" ht="15" x14ac:dyDescent="0.2">
      <c r="A72" s="1083"/>
      <c r="B72" s="1087"/>
      <c r="C72" s="35" t="s">
        <v>358</v>
      </c>
      <c r="D72" s="747" t="s">
        <v>655</v>
      </c>
      <c r="E72" s="747" t="s">
        <v>249</v>
      </c>
      <c r="F72" s="748" t="s">
        <v>131</v>
      </c>
      <c r="G72" s="749">
        <v>6</v>
      </c>
      <c r="H72" s="790">
        <f>360000*56</f>
        <v>20160000</v>
      </c>
      <c r="I72" s="784"/>
      <c r="J72" s="784"/>
      <c r="K72" s="784">
        <f>+H72</f>
        <v>20160000</v>
      </c>
      <c r="L72" s="784"/>
      <c r="M72" s="784"/>
      <c r="N72" s="783"/>
      <c r="O72" s="784"/>
      <c r="P72" s="784"/>
      <c r="Q72" s="784"/>
      <c r="R72" s="784"/>
      <c r="S72" s="784"/>
      <c r="T72" s="784"/>
      <c r="U72" s="769">
        <f t="shared" si="0"/>
        <v>20160000</v>
      </c>
      <c r="V72" s="750"/>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c r="IL72" s="31"/>
      <c r="IM72" s="31"/>
      <c r="IN72" s="31"/>
      <c r="IO72" s="31"/>
      <c r="IP72" s="31"/>
      <c r="IQ72" s="31"/>
      <c r="IR72" s="31"/>
      <c r="IS72" s="31"/>
      <c r="IT72" s="31"/>
      <c r="IU72" s="31"/>
      <c r="IV72" s="31"/>
      <c r="IW72" s="31"/>
      <c r="IX72" s="31"/>
      <c r="IY72" s="31"/>
      <c r="IZ72" s="31"/>
      <c r="JA72" s="31"/>
      <c r="JB72" s="31"/>
      <c r="JC72" s="31"/>
      <c r="JD72" s="31"/>
      <c r="JE72" s="31"/>
      <c r="JF72" s="31"/>
      <c r="JG72" s="31"/>
    </row>
    <row r="73" spans="1:267" s="30" customFormat="1" ht="39" customHeight="1" x14ac:dyDescent="0.2">
      <c r="A73" s="1083"/>
      <c r="B73" s="1087"/>
      <c r="C73" s="35" t="s">
        <v>358</v>
      </c>
      <c r="D73" s="747" t="s">
        <v>1069</v>
      </c>
      <c r="E73" s="747" t="s">
        <v>249</v>
      </c>
      <c r="F73" s="748" t="s">
        <v>131</v>
      </c>
      <c r="G73" s="749">
        <v>2</v>
      </c>
      <c r="H73" s="790">
        <f>75000*56</f>
        <v>4200000</v>
      </c>
      <c r="I73" s="784"/>
      <c r="J73" s="784"/>
      <c r="K73" s="784"/>
      <c r="L73" s="784"/>
      <c r="M73" s="784"/>
      <c r="N73" s="783"/>
      <c r="O73" s="784"/>
      <c r="P73" s="784"/>
      <c r="Q73" s="784"/>
      <c r="R73" s="784"/>
      <c r="S73" s="784"/>
      <c r="T73" s="784">
        <f>+H73</f>
        <v>4200000</v>
      </c>
      <c r="U73" s="769">
        <f t="shared" si="0"/>
        <v>4200000</v>
      </c>
      <c r="V73" s="750" t="s">
        <v>1343</v>
      </c>
      <c r="W73" s="38"/>
      <c r="X73" s="38"/>
      <c r="Y73" s="38"/>
      <c r="Z73" s="38"/>
      <c r="AA73" s="38"/>
      <c r="AB73" s="38"/>
    </row>
    <row r="74" spans="1:267" s="39" customFormat="1" ht="45" x14ac:dyDescent="0.2">
      <c r="A74" s="1083"/>
      <c r="B74" s="1087"/>
      <c r="C74" s="35" t="s">
        <v>358</v>
      </c>
      <c r="D74" s="747" t="s">
        <v>395</v>
      </c>
      <c r="E74" s="747" t="s">
        <v>249</v>
      </c>
      <c r="F74" s="748" t="s">
        <v>131</v>
      </c>
      <c r="G74" s="749">
        <v>2</v>
      </c>
      <c r="H74" s="790">
        <f>2750000</f>
        <v>2750000</v>
      </c>
      <c r="I74" s="786"/>
      <c r="J74" s="769"/>
      <c r="K74" s="769"/>
      <c r="L74" s="769"/>
      <c r="M74" s="769"/>
      <c r="N74" s="769">
        <f>+H74*G74</f>
        <v>5500000</v>
      </c>
      <c r="O74" s="769"/>
      <c r="P74" s="769"/>
      <c r="Q74" s="769"/>
      <c r="R74" s="769"/>
      <c r="S74" s="769"/>
      <c r="T74" s="769"/>
      <c r="U74" s="769">
        <f t="shared" si="0"/>
        <v>5500000</v>
      </c>
      <c r="V74" s="764"/>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c r="IL74" s="31"/>
      <c r="IM74" s="31"/>
      <c r="IN74" s="31"/>
      <c r="IO74" s="31"/>
      <c r="IP74" s="31"/>
      <c r="IQ74" s="31"/>
      <c r="IR74" s="31"/>
      <c r="IS74" s="31"/>
      <c r="IT74" s="31"/>
      <c r="IU74" s="31"/>
      <c r="IV74" s="31"/>
      <c r="IW74" s="31"/>
      <c r="IX74" s="31"/>
      <c r="IY74" s="31"/>
      <c r="IZ74" s="31"/>
      <c r="JA74" s="31"/>
      <c r="JB74" s="31"/>
      <c r="JC74" s="31"/>
      <c r="JD74" s="31"/>
      <c r="JE74" s="31"/>
      <c r="JF74" s="31"/>
      <c r="JG74" s="31"/>
    </row>
    <row r="75" spans="1:267" s="30" customFormat="1" ht="30" x14ac:dyDescent="0.2">
      <c r="A75" s="1083"/>
      <c r="B75" s="1087"/>
      <c r="C75" s="35" t="s">
        <v>358</v>
      </c>
      <c r="D75" s="747" t="s">
        <v>396</v>
      </c>
      <c r="E75" s="747" t="s">
        <v>249</v>
      </c>
      <c r="F75" s="748" t="s">
        <v>131</v>
      </c>
      <c r="G75" s="749">
        <v>1</v>
      </c>
      <c r="H75" s="790">
        <f>2000000</f>
        <v>2000000</v>
      </c>
      <c r="I75" s="784"/>
      <c r="J75" s="784"/>
      <c r="K75" s="784"/>
      <c r="L75" s="784"/>
      <c r="M75" s="784"/>
      <c r="N75" s="783">
        <f>+H75*G75</f>
        <v>2000000</v>
      </c>
      <c r="O75" s="784"/>
      <c r="P75" s="784"/>
      <c r="Q75" s="784"/>
      <c r="R75" s="784"/>
      <c r="S75" s="784"/>
      <c r="T75" s="784"/>
      <c r="U75" s="769">
        <f t="shared" si="0"/>
        <v>2000000</v>
      </c>
      <c r="V75" s="764"/>
      <c r="W75" s="38"/>
      <c r="X75" s="38"/>
      <c r="Y75" s="38"/>
      <c r="Z75" s="38"/>
      <c r="AA75" s="38"/>
      <c r="AB75" s="38"/>
    </row>
    <row r="76" spans="1:267" s="39" customFormat="1" ht="30" x14ac:dyDescent="0.2">
      <c r="A76" s="1084"/>
      <c r="B76" s="1088"/>
      <c r="C76" s="35" t="s">
        <v>358</v>
      </c>
      <c r="D76" s="747" t="s">
        <v>397</v>
      </c>
      <c r="E76" s="747" t="s">
        <v>249</v>
      </c>
      <c r="F76" s="748" t="s">
        <v>131</v>
      </c>
      <c r="G76" s="749">
        <v>11</v>
      </c>
      <c r="H76" s="790">
        <f>110000*1.18</f>
        <v>129800</v>
      </c>
      <c r="I76" s="784"/>
      <c r="J76" s="784"/>
      <c r="K76" s="784"/>
      <c r="L76" s="784"/>
      <c r="M76" s="783"/>
      <c r="N76" s="783">
        <f>+H76*G76</f>
        <v>1427800</v>
      </c>
      <c r="O76" s="769"/>
      <c r="P76" s="769"/>
      <c r="Q76" s="769"/>
      <c r="R76" s="769"/>
      <c r="S76" s="769"/>
      <c r="T76" s="769"/>
      <c r="U76" s="769">
        <f t="shared" si="0"/>
        <v>1427800</v>
      </c>
      <c r="V76" s="764"/>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c r="IW76" s="31"/>
      <c r="IX76" s="31"/>
      <c r="IY76" s="31"/>
      <c r="IZ76" s="31"/>
      <c r="JA76" s="31"/>
      <c r="JB76" s="31"/>
      <c r="JC76" s="31"/>
      <c r="JD76" s="31"/>
      <c r="JE76" s="31"/>
      <c r="JF76" s="31"/>
      <c r="JG76" s="31"/>
    </row>
    <row r="77" spans="1:267" s="39" customFormat="1" ht="94.5" customHeight="1" x14ac:dyDescent="0.2">
      <c r="A77" s="460" t="str">
        <f>'POA TIC'!A34</f>
        <v xml:space="preserve">83. Módulo ad hoc sobre movilidad humana </v>
      </c>
      <c r="B77" s="46" t="str">
        <f>'POA TIC'!F34</f>
        <v>83.1 Desarrollar e implemetar un módulo ad hoc para movilidad humana y capacitación para levantamiento.</v>
      </c>
      <c r="C77" s="738" t="s">
        <v>398</v>
      </c>
      <c r="D77" s="43" t="s">
        <v>1068</v>
      </c>
      <c r="E77" s="43" t="s">
        <v>249</v>
      </c>
      <c r="F77" s="43" t="s">
        <v>131</v>
      </c>
      <c r="G77" s="44">
        <v>1</v>
      </c>
      <c r="H77" s="770">
        <f>15557.28*58</f>
        <v>902322.24</v>
      </c>
      <c r="I77" s="775"/>
      <c r="J77" s="776"/>
      <c r="K77" s="776">
        <f>+H77*G77</f>
        <v>902322.24</v>
      </c>
      <c r="L77" s="776"/>
      <c r="M77" s="776"/>
      <c r="N77" s="776"/>
      <c r="O77" s="775"/>
      <c r="P77" s="776"/>
      <c r="Q77" s="776"/>
      <c r="R77" s="776"/>
      <c r="S77" s="776"/>
      <c r="T77" s="776"/>
      <c r="U77" s="770">
        <f t="shared" si="0"/>
        <v>902322.24</v>
      </c>
      <c r="V77" s="740"/>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c r="IW77" s="31"/>
      <c r="IX77" s="31"/>
      <c r="IY77" s="31"/>
      <c r="IZ77" s="31"/>
      <c r="JA77" s="31"/>
      <c r="JB77" s="31"/>
      <c r="JC77" s="31"/>
      <c r="JD77" s="31"/>
      <c r="JE77" s="31"/>
      <c r="JF77" s="31"/>
      <c r="JG77" s="31"/>
    </row>
    <row r="78" spans="1:267" s="30" customFormat="1" ht="93" customHeight="1" x14ac:dyDescent="0.2">
      <c r="A78" s="47" t="str">
        <f>'POA TIC'!A35</f>
        <v>84. Plataforma para sistemas de identidad digital para empadronamiento de hogares sin documentos de identidad implementada</v>
      </c>
      <c r="B78" s="47" t="str">
        <f>'POA TIC'!F35</f>
        <v>84.1 Instalar una plataforma de  para sistemas de identidad digital para empadronamiento de hogares sin documentos de identidad e implementación de piloto</v>
      </c>
      <c r="C78" s="93" t="s">
        <v>398</v>
      </c>
      <c r="D78" s="93" t="s">
        <v>1067</v>
      </c>
      <c r="E78" s="93" t="s">
        <v>249</v>
      </c>
      <c r="F78" s="41" t="s">
        <v>131</v>
      </c>
      <c r="G78" s="42">
        <v>1</v>
      </c>
      <c r="H78" s="791">
        <f>18302.68*58</f>
        <v>1061555.44</v>
      </c>
      <c r="I78" s="792"/>
      <c r="J78" s="792"/>
      <c r="K78" s="792">
        <f>+H78*G78</f>
        <v>1061555.44</v>
      </c>
      <c r="L78" s="792"/>
      <c r="M78" s="792"/>
      <c r="N78" s="791"/>
      <c r="O78" s="792"/>
      <c r="P78" s="792"/>
      <c r="Q78" s="792"/>
      <c r="R78" s="792"/>
      <c r="S78" s="792"/>
      <c r="T78" s="792"/>
      <c r="U78" s="766">
        <f t="shared" si="0"/>
        <v>1061555.44</v>
      </c>
      <c r="V78" s="741"/>
      <c r="W78" s="38"/>
      <c r="X78" s="38"/>
      <c r="Y78" s="38"/>
      <c r="Z78" s="38"/>
      <c r="AA78" s="38"/>
      <c r="AB78" s="38"/>
    </row>
    <row r="79" spans="1:267" s="39" customFormat="1" ht="60" x14ac:dyDescent="0.2">
      <c r="A79" s="46" t="str">
        <f>'POA TIC'!A36</f>
        <v xml:space="preserve">85. Dashboards para mostrar la información agrupada del proyecto de movilidad humana 
</v>
      </c>
      <c r="B79" s="46" t="str">
        <f>'POA TIC'!F36</f>
        <v xml:space="preserve">85.1 Elaborar e implementar un dashboards del proyecto de movilidad humana
</v>
      </c>
      <c r="C79" s="738" t="s">
        <v>398</v>
      </c>
      <c r="D79" s="43" t="s">
        <v>399</v>
      </c>
      <c r="E79" s="43" t="s">
        <v>249</v>
      </c>
      <c r="F79" s="43" t="s">
        <v>131</v>
      </c>
      <c r="G79" s="44">
        <v>1</v>
      </c>
      <c r="H79" s="770">
        <f>35789.07*58</f>
        <v>2075766.06</v>
      </c>
      <c r="I79" s="775"/>
      <c r="J79" s="776"/>
      <c r="K79" s="776">
        <f>+H79*G79</f>
        <v>2075766.06</v>
      </c>
      <c r="L79" s="776"/>
      <c r="M79" s="776"/>
      <c r="N79" s="776"/>
      <c r="O79" s="775"/>
      <c r="P79" s="776"/>
      <c r="Q79" s="776"/>
      <c r="R79" s="776"/>
      <c r="S79" s="776"/>
      <c r="T79" s="776"/>
      <c r="U79" s="770">
        <f t="shared" si="0"/>
        <v>2075766.06</v>
      </c>
      <c r="V79" s="740"/>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31"/>
      <c r="DX79" s="31"/>
      <c r="DY79" s="31"/>
      <c r="DZ79" s="31"/>
      <c r="EA79" s="31"/>
      <c r="EB79" s="31"/>
      <c r="EC79" s="31"/>
      <c r="ED79" s="31"/>
      <c r="EE79" s="31"/>
      <c r="EF79" s="31"/>
      <c r="EG79" s="31"/>
      <c r="EH79" s="31"/>
      <c r="EI79" s="31"/>
      <c r="EJ79" s="31"/>
      <c r="EK79" s="31"/>
      <c r="EL79" s="31"/>
      <c r="EM79" s="31"/>
      <c r="EN79" s="31"/>
      <c r="EO79" s="31"/>
      <c r="EP79" s="31"/>
      <c r="EQ79" s="31"/>
      <c r="ER79" s="31"/>
      <c r="ES79" s="31"/>
      <c r="ET79" s="31"/>
      <c r="EU79" s="31"/>
      <c r="EV79" s="31"/>
      <c r="EW79" s="31"/>
      <c r="EX79" s="31"/>
      <c r="EY79" s="31"/>
      <c r="EZ79" s="31"/>
      <c r="FA79" s="31"/>
      <c r="FB79" s="31"/>
      <c r="FC79" s="31"/>
      <c r="FD79" s="31"/>
      <c r="FE79" s="31"/>
      <c r="FF79" s="31"/>
      <c r="FG79" s="31"/>
      <c r="FH79" s="31"/>
      <c r="FI79" s="31"/>
      <c r="FJ79" s="31"/>
      <c r="FK79" s="31"/>
      <c r="FL79" s="31"/>
      <c r="FM79" s="31"/>
      <c r="FN79" s="31"/>
      <c r="FO79" s="31"/>
      <c r="FP79" s="31"/>
      <c r="FQ79" s="31"/>
      <c r="FR79" s="31"/>
      <c r="FS79" s="31"/>
      <c r="FT79" s="31"/>
      <c r="FU79" s="31"/>
      <c r="FV79" s="31"/>
      <c r="FW79" s="31"/>
      <c r="FX79" s="31"/>
      <c r="FY79" s="31"/>
      <c r="FZ79" s="31"/>
      <c r="GA79" s="31"/>
      <c r="GB79" s="31"/>
      <c r="GC79" s="31"/>
      <c r="GD79" s="31"/>
      <c r="GE79" s="31"/>
      <c r="GF79" s="31"/>
      <c r="GG79" s="31"/>
      <c r="GH79" s="31"/>
      <c r="GI79" s="31"/>
      <c r="GJ79" s="31"/>
      <c r="GK79" s="31"/>
      <c r="GL79" s="31"/>
      <c r="GM79" s="31"/>
      <c r="GN79" s="31"/>
      <c r="GO79" s="31"/>
      <c r="GP79" s="31"/>
      <c r="GQ79" s="31"/>
      <c r="GR79" s="31"/>
      <c r="GS79" s="31"/>
      <c r="GT79" s="31"/>
      <c r="GU79" s="31"/>
      <c r="GV79" s="31"/>
      <c r="GW79" s="31"/>
      <c r="GX79" s="31"/>
      <c r="GY79" s="31"/>
      <c r="GZ79" s="31"/>
      <c r="HA79" s="31"/>
      <c r="HB79" s="31"/>
      <c r="HC79" s="31"/>
      <c r="HD79" s="31"/>
      <c r="HE79" s="31"/>
      <c r="HF79" s="31"/>
      <c r="HG79" s="31"/>
      <c r="HH79" s="31"/>
      <c r="HI79" s="31"/>
      <c r="HJ79" s="31"/>
      <c r="HK79" s="31"/>
      <c r="HL79" s="31"/>
      <c r="HM79" s="31"/>
      <c r="HN79" s="31"/>
      <c r="HO79" s="31"/>
      <c r="HP79" s="31"/>
      <c r="HQ79" s="31"/>
      <c r="HR79" s="31"/>
      <c r="HS79" s="31"/>
      <c r="HT79" s="31"/>
      <c r="HU79" s="31"/>
      <c r="HV79" s="31"/>
      <c r="HW79" s="31"/>
      <c r="HX79" s="31"/>
      <c r="HY79" s="31"/>
      <c r="HZ79" s="31"/>
      <c r="IA79" s="31"/>
      <c r="IB79" s="31"/>
      <c r="IC79" s="31"/>
      <c r="ID79" s="31"/>
      <c r="IE79" s="31"/>
      <c r="IF79" s="31"/>
      <c r="IG79" s="31"/>
      <c r="IH79" s="31"/>
      <c r="II79" s="31"/>
      <c r="IJ79" s="31"/>
      <c r="IK79" s="31"/>
      <c r="IL79" s="31"/>
      <c r="IM79" s="31"/>
      <c r="IN79" s="31"/>
      <c r="IO79" s="31"/>
      <c r="IP79" s="31"/>
      <c r="IQ79" s="31"/>
      <c r="IR79" s="31"/>
      <c r="IS79" s="31"/>
      <c r="IT79" s="31"/>
      <c r="IU79" s="31"/>
      <c r="IV79" s="31"/>
      <c r="IW79" s="31"/>
      <c r="IX79" s="31"/>
      <c r="IY79" s="31"/>
      <c r="IZ79" s="31"/>
      <c r="JA79" s="31"/>
      <c r="JB79" s="31"/>
      <c r="JC79" s="31"/>
      <c r="JD79" s="31"/>
      <c r="JE79" s="31"/>
      <c r="JF79" s="31"/>
      <c r="JG79" s="31"/>
    </row>
    <row r="80" spans="1:267" s="30" customFormat="1" ht="60" x14ac:dyDescent="0.2">
      <c r="A80" s="47" t="str">
        <f>'POA TIC'!A37</f>
        <v xml:space="preserve">86. Sistema de levantamiento Estudio socioeconómico de hogares realizado
</v>
      </c>
      <c r="B80" s="47" t="str">
        <f>'POA TIC'!F37</f>
        <v xml:space="preserve">86.1 Desarrollar e implementar sistema para Dispositivos moviles para Estudio socioeconómico de hogares 
</v>
      </c>
      <c r="C80" s="93" t="s">
        <v>358</v>
      </c>
      <c r="D80" s="93" t="s">
        <v>400</v>
      </c>
      <c r="E80" s="93" t="s">
        <v>249</v>
      </c>
      <c r="F80" s="41" t="s">
        <v>131</v>
      </c>
      <c r="G80" s="42">
        <v>1</v>
      </c>
      <c r="H80" s="791">
        <f>30000*56</f>
        <v>1680000</v>
      </c>
      <c r="I80" s="792"/>
      <c r="J80" s="792"/>
      <c r="K80" s="792">
        <f>+H80*G80</f>
        <v>1680000</v>
      </c>
      <c r="L80" s="792"/>
      <c r="M80" s="792"/>
      <c r="N80" s="791"/>
      <c r="O80" s="792"/>
      <c r="P80" s="792"/>
      <c r="Q80" s="792"/>
      <c r="R80" s="792"/>
      <c r="S80" s="792"/>
      <c r="T80" s="792"/>
      <c r="U80" s="766">
        <f t="shared" si="0"/>
        <v>1680000</v>
      </c>
      <c r="V80" s="741"/>
      <c r="W80" s="38"/>
      <c r="X80" s="38"/>
      <c r="Y80" s="38"/>
      <c r="Z80" s="38"/>
      <c r="AA80" s="38"/>
      <c r="AB80" s="38"/>
    </row>
    <row r="81" spans="1:267" customFormat="1" ht="96" customHeight="1" x14ac:dyDescent="0.25">
      <c r="A81" s="46" t="s">
        <v>1338</v>
      </c>
      <c r="B81" s="46" t="s">
        <v>1330</v>
      </c>
      <c r="C81" s="738" t="s">
        <v>840</v>
      </c>
      <c r="D81" s="43" t="s">
        <v>1296</v>
      </c>
      <c r="E81" s="43" t="s">
        <v>249</v>
      </c>
      <c r="F81" s="43" t="s">
        <v>131</v>
      </c>
      <c r="G81" s="44">
        <v>1</v>
      </c>
      <c r="H81" s="770">
        <f>25000*62.61</f>
        <v>1565250</v>
      </c>
      <c r="I81" s="775"/>
      <c r="J81" s="776"/>
      <c r="K81" s="776"/>
      <c r="L81" s="776">
        <f>H81*10%</f>
        <v>156525</v>
      </c>
      <c r="M81" s="776">
        <f>H81*20%</f>
        <v>313050</v>
      </c>
      <c r="N81" s="776">
        <f>H81*10%</f>
        <v>156525</v>
      </c>
      <c r="O81" s="775">
        <f>H81*10%</f>
        <v>156525</v>
      </c>
      <c r="P81" s="776">
        <f>H81*50%</f>
        <v>782625</v>
      </c>
      <c r="Q81" s="776"/>
      <c r="R81" s="776"/>
      <c r="S81" s="776"/>
      <c r="T81" s="776"/>
      <c r="U81" s="770">
        <f t="shared" si="0"/>
        <v>1565250</v>
      </c>
      <c r="V81" s="740"/>
      <c r="W81" s="585"/>
      <c r="X81" s="585"/>
      <c r="Y81" s="585"/>
      <c r="Z81" s="585"/>
      <c r="AA81" s="585"/>
      <c r="AB81" s="585"/>
      <c r="AC81" s="585"/>
      <c r="AD81" s="586"/>
      <c r="AE81" s="585"/>
      <c r="AF81" s="585"/>
      <c r="AG81" s="585"/>
      <c r="AH81" s="585"/>
      <c r="AI81" s="585"/>
      <c r="AJ81" s="585"/>
      <c r="AK81" s="585"/>
      <c r="AL81" s="585"/>
    </row>
    <row r="82" spans="1:267" customFormat="1" ht="143.25" customHeight="1" x14ac:dyDescent="0.25">
      <c r="A82" s="335" t="s">
        <v>1331</v>
      </c>
      <c r="B82" s="737" t="s">
        <v>1331</v>
      </c>
      <c r="C82" s="40" t="s">
        <v>840</v>
      </c>
      <c r="D82" s="131" t="s">
        <v>1295</v>
      </c>
      <c r="E82" s="93" t="s">
        <v>249</v>
      </c>
      <c r="F82" s="41" t="s">
        <v>131</v>
      </c>
      <c r="G82" s="42">
        <v>1</v>
      </c>
      <c r="H82" s="777">
        <f>40000*62.61</f>
        <v>2504400</v>
      </c>
      <c r="I82" s="778"/>
      <c r="J82" s="779"/>
      <c r="K82" s="780">
        <f>+H82*G82</f>
        <v>2504400</v>
      </c>
      <c r="L82" s="779"/>
      <c r="M82" s="779"/>
      <c r="N82" s="779"/>
      <c r="O82" s="779"/>
      <c r="P82" s="779"/>
      <c r="Q82" s="779"/>
      <c r="R82" s="779"/>
      <c r="S82" s="781"/>
      <c r="T82" s="771"/>
      <c r="U82" s="771">
        <f>SUM(I82:T82)</f>
        <v>2504400</v>
      </c>
      <c r="V82" s="741"/>
      <c r="W82" s="585"/>
      <c r="X82" s="585"/>
      <c r="Y82" s="585"/>
      <c r="Z82" s="585"/>
      <c r="AA82" s="585"/>
      <c r="AB82" s="585"/>
      <c r="AC82" s="585"/>
      <c r="AD82" s="586"/>
      <c r="AE82" s="585"/>
      <c r="AF82" s="585"/>
      <c r="AG82" s="585"/>
      <c r="AH82" s="585"/>
      <c r="AI82" s="585"/>
      <c r="AJ82" s="585"/>
      <c r="AK82" s="585"/>
      <c r="AL82" s="585"/>
    </row>
    <row r="83" spans="1:267" s="88" customFormat="1" ht="76.5" customHeight="1" x14ac:dyDescent="0.25">
      <c r="A83" s="736" t="s">
        <v>1332</v>
      </c>
      <c r="B83" s="735" t="s">
        <v>1333</v>
      </c>
      <c r="C83" s="43" t="s">
        <v>398</v>
      </c>
      <c r="D83" s="43" t="s">
        <v>1294</v>
      </c>
      <c r="E83" s="43" t="s">
        <v>249</v>
      </c>
      <c r="F83" s="43" t="s">
        <v>131</v>
      </c>
      <c r="G83" s="43">
        <v>1</v>
      </c>
      <c r="H83" s="793">
        <f>66921.9280777791*58</f>
        <v>3881471.8285111878</v>
      </c>
      <c r="I83" s="794"/>
      <c r="J83" s="793">
        <f>H83*0.1</f>
        <v>388147.18285111879</v>
      </c>
      <c r="K83" s="793">
        <f>H83*0.1</f>
        <v>388147.18285111879</v>
      </c>
      <c r="L83" s="793">
        <f>H83*0.1</f>
        <v>388147.18285111879</v>
      </c>
      <c r="M83" s="793">
        <f>H83*0.2</f>
        <v>776294.36570223758</v>
      </c>
      <c r="N83" s="793">
        <f>H83*0.2</f>
        <v>776294.36570223758</v>
      </c>
      <c r="O83" s="793">
        <f>H83*0.2</f>
        <v>776294.36570223758</v>
      </c>
      <c r="P83" s="793">
        <f>H83*0.1</f>
        <v>388147.18285111879</v>
      </c>
      <c r="Q83" s="776"/>
      <c r="R83" s="776"/>
      <c r="S83" s="776"/>
      <c r="T83" s="776"/>
      <c r="U83" s="770">
        <f>SUM(I83:T83)</f>
        <v>3881471.8285111878</v>
      </c>
      <c r="V83" s="740" t="s">
        <v>1342</v>
      </c>
      <c r="W83" s="728"/>
      <c r="X83" s="728"/>
      <c r="Y83" s="728"/>
      <c r="Z83" s="728"/>
      <c r="AA83" s="728"/>
      <c r="AB83" s="728"/>
    </row>
    <row r="84" spans="1:267" customFormat="1" ht="49.5" customHeight="1" x14ac:dyDescent="0.25">
      <c r="A84" s="1077" t="s">
        <v>1334</v>
      </c>
      <c r="B84" s="1080" t="s">
        <v>1335</v>
      </c>
      <c r="C84" s="807" t="s">
        <v>398</v>
      </c>
      <c r="D84" s="93" t="s">
        <v>1293</v>
      </c>
      <c r="E84" s="93" t="s">
        <v>249</v>
      </c>
      <c r="F84" s="93" t="s">
        <v>131</v>
      </c>
      <c r="G84" s="93">
        <v>1</v>
      </c>
      <c r="H84" s="772">
        <f>158867.283589083*58</f>
        <v>9214302.4481668137</v>
      </c>
      <c r="I84" s="795"/>
      <c r="J84" s="792"/>
      <c r="K84" s="772">
        <f>+H84*G84</f>
        <v>9214302.4481668137</v>
      </c>
      <c r="L84" s="792"/>
      <c r="M84" s="792"/>
      <c r="N84" s="791"/>
      <c r="O84" s="792"/>
      <c r="P84" s="792"/>
      <c r="Q84" s="792"/>
      <c r="R84" s="792"/>
      <c r="S84" s="792"/>
      <c r="T84" s="792"/>
      <c r="U84" s="772">
        <f>SUM(I84:T84)</f>
        <v>9214302.4481668137</v>
      </c>
      <c r="V84" s="741"/>
      <c r="W84" s="585"/>
      <c r="X84" s="585"/>
      <c r="Y84" s="585"/>
      <c r="Z84" s="585"/>
      <c r="AA84" s="585"/>
      <c r="AB84" s="585"/>
    </row>
    <row r="85" spans="1:267" customFormat="1" ht="70.5" customHeight="1" x14ac:dyDescent="0.25">
      <c r="A85" s="1078"/>
      <c r="B85" s="1081"/>
      <c r="C85" s="807" t="s">
        <v>398</v>
      </c>
      <c r="D85" s="93" t="s">
        <v>1292</v>
      </c>
      <c r="E85" s="93" t="s">
        <v>249</v>
      </c>
      <c r="F85" s="93" t="s">
        <v>131</v>
      </c>
      <c r="G85" s="93">
        <v>1</v>
      </c>
      <c r="H85" s="772">
        <f>93343.6804498067*58</f>
        <v>5413933.4660887886</v>
      </c>
      <c r="I85" s="795"/>
      <c r="J85" s="792"/>
      <c r="K85" s="792"/>
      <c r="L85" s="772">
        <f>+H85*G85</f>
        <v>5413933.4660887886</v>
      </c>
      <c r="M85" s="792"/>
      <c r="N85" s="791"/>
      <c r="O85" s="792"/>
      <c r="P85" s="792"/>
      <c r="Q85" s="792"/>
      <c r="R85" s="792"/>
      <c r="S85" s="792"/>
      <c r="T85" s="792"/>
      <c r="U85" s="772">
        <f t="shared" ref="U85:U87" si="4">SUM(I85:T85)</f>
        <v>5413933.4660887886</v>
      </c>
      <c r="V85" s="741"/>
      <c r="W85" s="585"/>
      <c r="X85" s="585"/>
      <c r="Y85" s="585"/>
      <c r="Z85" s="585"/>
      <c r="AA85" s="585"/>
      <c r="AB85" s="585"/>
    </row>
    <row r="86" spans="1:267" customFormat="1" ht="70.5" customHeight="1" x14ac:dyDescent="0.25">
      <c r="A86" s="1078"/>
      <c r="B86" s="1081"/>
      <c r="C86" s="807" t="s">
        <v>398</v>
      </c>
      <c r="D86" s="93" t="s">
        <v>1291</v>
      </c>
      <c r="E86" s="93" t="s">
        <v>249</v>
      </c>
      <c r="F86" s="93" t="s">
        <v>131</v>
      </c>
      <c r="G86" s="93">
        <v>1</v>
      </c>
      <c r="H86" s="772">
        <f>40265.9013705049*58</f>
        <v>2335422.2794892844</v>
      </c>
      <c r="I86" s="795"/>
      <c r="J86" s="792"/>
      <c r="K86" s="792">
        <f>+H86*G86</f>
        <v>2335422.2794892844</v>
      </c>
      <c r="L86" s="792"/>
      <c r="M86" s="792"/>
      <c r="N86" s="791"/>
      <c r="O86" s="792"/>
      <c r="P86" s="792"/>
      <c r="Q86" s="792"/>
      <c r="R86" s="792"/>
      <c r="S86" s="792"/>
      <c r="T86" s="792"/>
      <c r="U86" s="772">
        <f t="shared" si="4"/>
        <v>2335422.2794892844</v>
      </c>
      <c r="V86" s="741"/>
      <c r="W86" s="585"/>
      <c r="X86" s="585"/>
      <c r="Y86" s="585"/>
      <c r="Z86" s="585"/>
      <c r="AA86" s="585"/>
      <c r="AB86" s="585"/>
    </row>
    <row r="87" spans="1:267" customFormat="1" ht="70.5" customHeight="1" x14ac:dyDescent="0.25">
      <c r="A87" s="1079"/>
      <c r="B87" s="1082"/>
      <c r="C87" s="807" t="s">
        <v>398</v>
      </c>
      <c r="D87" s="93" t="s">
        <v>1290</v>
      </c>
      <c r="E87" s="93" t="s">
        <v>249</v>
      </c>
      <c r="F87" s="93" t="s">
        <v>131</v>
      </c>
      <c r="G87" s="93">
        <v>1</v>
      </c>
      <c r="H87" s="772">
        <f>36629.1583694506*58</f>
        <v>2124491.1854281346</v>
      </c>
      <c r="I87" s="795"/>
      <c r="J87" s="792"/>
      <c r="K87" s="792"/>
      <c r="L87" s="792">
        <f>+H87*G87</f>
        <v>2124491.1854281346</v>
      </c>
      <c r="M87" s="792"/>
      <c r="N87" s="791"/>
      <c r="O87" s="792"/>
      <c r="P87" s="792"/>
      <c r="Q87" s="792"/>
      <c r="R87" s="792"/>
      <c r="S87" s="792"/>
      <c r="T87" s="792"/>
      <c r="U87" s="772">
        <f t="shared" si="4"/>
        <v>2124491.1854281346</v>
      </c>
      <c r="V87" s="741"/>
      <c r="W87" s="585"/>
      <c r="X87" s="585"/>
      <c r="Y87" s="585"/>
      <c r="Z87" s="585"/>
      <c r="AA87" s="585"/>
      <c r="AB87" s="585"/>
    </row>
    <row r="88" spans="1:267" ht="15" x14ac:dyDescent="0.2">
      <c r="A88" s="344"/>
      <c r="B88" s="344"/>
      <c r="C88" s="344"/>
      <c r="D88" s="344"/>
      <c r="E88" s="345"/>
      <c r="F88" s="1073"/>
      <c r="G88" s="1073"/>
      <c r="H88" s="1073"/>
      <c r="I88" s="346">
        <f>SUM(I26:I87)</f>
        <v>0</v>
      </c>
      <c r="J88" s="346">
        <f t="shared" ref="J88:U88" si="5">SUM(J26:J87)</f>
        <v>468147.18285111879</v>
      </c>
      <c r="K88" s="346">
        <f t="shared" si="5"/>
        <v>45907095.650507219</v>
      </c>
      <c r="L88" s="346">
        <f t="shared" si="5"/>
        <v>8243096.8343680426</v>
      </c>
      <c r="M88" s="346">
        <f t="shared" si="5"/>
        <v>1089344.3657022375</v>
      </c>
      <c r="N88" s="346">
        <f t="shared" si="5"/>
        <v>50506012.565702237</v>
      </c>
      <c r="O88" s="346">
        <f t="shared" si="5"/>
        <v>2752819.3657022375</v>
      </c>
      <c r="P88" s="346">
        <f t="shared" si="5"/>
        <v>14570772.182851119</v>
      </c>
      <c r="Q88" s="346">
        <f t="shared" si="5"/>
        <v>3126820</v>
      </c>
      <c r="R88" s="346">
        <f t="shared" si="5"/>
        <v>0</v>
      </c>
      <c r="S88" s="346">
        <f t="shared" si="5"/>
        <v>0</v>
      </c>
      <c r="T88" s="346">
        <f t="shared" si="5"/>
        <v>7887040</v>
      </c>
      <c r="U88" s="346">
        <f t="shared" si="5"/>
        <v>134551148.14768422</v>
      </c>
      <c r="V88" s="351"/>
    </row>
    <row r="89" spans="1:267" ht="15" x14ac:dyDescent="0.2">
      <c r="A89" s="33"/>
      <c r="B89" s="33"/>
      <c r="C89" s="33"/>
      <c r="D89" s="33"/>
      <c r="E89" s="347"/>
      <c r="F89" s="33"/>
      <c r="G89" s="348"/>
      <c r="H89" s="349"/>
      <c r="I89" s="33"/>
      <c r="J89" s="33"/>
      <c r="K89" s="33"/>
      <c r="L89" s="33"/>
      <c r="M89" s="33"/>
      <c r="N89" s="33"/>
      <c r="O89" s="33"/>
      <c r="P89" s="33"/>
      <c r="Q89" s="33"/>
      <c r="R89" s="33"/>
      <c r="S89" s="33"/>
      <c r="T89" s="33"/>
      <c r="U89" s="33"/>
      <c r="V89" s="301"/>
    </row>
    <row r="90" spans="1:267" ht="15" x14ac:dyDescent="0.2">
      <c r="A90" s="33"/>
      <c r="B90" s="33"/>
      <c r="C90" s="33"/>
      <c r="D90" s="33"/>
      <c r="E90" s="347"/>
      <c r="F90" s="33"/>
      <c r="G90" s="348"/>
      <c r="H90" s="349"/>
      <c r="I90" s="33"/>
      <c r="J90" s="33"/>
      <c r="K90" s="33"/>
      <c r="L90" s="33"/>
      <c r="M90" s="33"/>
      <c r="N90" s="33"/>
      <c r="O90" s="33"/>
      <c r="P90" s="33"/>
      <c r="Q90" s="33"/>
      <c r="R90" s="33"/>
      <c r="S90" s="33"/>
      <c r="T90" s="33"/>
      <c r="U90" s="301"/>
      <c r="V90" s="301"/>
    </row>
    <row r="91" spans="1:267" ht="15" x14ac:dyDescent="0.2">
      <c r="A91" s="33"/>
      <c r="B91" s="33"/>
      <c r="C91" s="33"/>
      <c r="D91" s="33"/>
      <c r="E91" s="347"/>
      <c r="F91" s="33"/>
      <c r="G91" s="348"/>
      <c r="H91" s="349"/>
      <c r="I91" s="33"/>
      <c r="J91" s="33"/>
      <c r="K91" s="33"/>
      <c r="L91" s="33"/>
      <c r="M91" s="33"/>
      <c r="N91" s="33"/>
      <c r="O91" s="33"/>
      <c r="P91" s="33"/>
      <c r="Q91" s="33"/>
      <c r="R91" s="33"/>
      <c r="S91" s="301"/>
      <c r="T91" s="301"/>
      <c r="U91" s="796"/>
      <c r="V91" s="301"/>
    </row>
    <row r="92" spans="1:267" ht="15" x14ac:dyDescent="0.2">
      <c r="A92" s="33"/>
      <c r="B92" s="475"/>
      <c r="C92" s="475"/>
      <c r="D92" s="475"/>
      <c r="E92" s="101"/>
      <c r="F92" s="101"/>
      <c r="G92" s="126"/>
      <c r="H92" s="992"/>
      <c r="I92" s="992"/>
      <c r="J92" s="992"/>
      <c r="K92" s="992"/>
      <c r="L92" s="992"/>
      <c r="M92" s="126"/>
      <c r="N92" s="126"/>
      <c r="O92" s="101"/>
      <c r="P92" s="101"/>
      <c r="Q92" s="853"/>
      <c r="R92" s="853"/>
      <c r="S92" s="853"/>
      <c r="T92" s="33"/>
      <c r="U92" s="301"/>
      <c r="V92" s="301"/>
    </row>
    <row r="93" spans="1:267" ht="15" x14ac:dyDescent="0.2">
      <c r="A93" s="33"/>
      <c r="B93" s="854" t="s">
        <v>1058</v>
      </c>
      <c r="C93" s="854"/>
      <c r="D93" s="854"/>
      <c r="E93" s="101"/>
      <c r="F93" s="101"/>
      <c r="G93" s="128"/>
      <c r="H93" s="854" t="s">
        <v>536</v>
      </c>
      <c r="I93" s="854"/>
      <c r="J93" s="854"/>
      <c r="K93" s="854"/>
      <c r="L93" s="854"/>
      <c r="M93" s="151"/>
      <c r="N93" s="151"/>
      <c r="O93" s="101"/>
      <c r="P93" s="101"/>
      <c r="Q93" s="854" t="s">
        <v>537</v>
      </c>
      <c r="R93" s="854"/>
      <c r="S93" s="854"/>
      <c r="T93" s="33"/>
      <c r="U93" s="301"/>
      <c r="V93" s="439"/>
    </row>
    <row r="94" spans="1:267" ht="15" x14ac:dyDescent="0.2">
      <c r="A94" s="33"/>
      <c r="B94" s="851" t="s">
        <v>1059</v>
      </c>
      <c r="C94" s="851"/>
      <c r="D94" s="851"/>
      <c r="E94" s="101"/>
      <c r="F94" s="101"/>
      <c r="G94" s="128"/>
      <c r="H94" s="851" t="s">
        <v>546</v>
      </c>
      <c r="I94" s="851"/>
      <c r="J94" s="851"/>
      <c r="K94" s="851"/>
      <c r="L94" s="851"/>
      <c r="M94" s="101"/>
      <c r="N94" s="101"/>
      <c r="O94" s="101"/>
      <c r="P94" s="101"/>
      <c r="Q94" s="851" t="s">
        <v>538</v>
      </c>
      <c r="R94" s="851"/>
      <c r="S94" s="851"/>
      <c r="T94" s="33"/>
      <c r="U94" s="439"/>
      <c r="V94" s="439"/>
    </row>
    <row r="95" spans="1:267" ht="15" x14ac:dyDescent="0.2">
      <c r="A95" s="33"/>
      <c r="B95" s="33"/>
      <c r="C95" s="33"/>
      <c r="D95" s="33"/>
      <c r="E95" s="347"/>
      <c r="F95" s="33"/>
      <c r="G95" s="348"/>
      <c r="H95" s="349"/>
      <c r="I95" s="33"/>
      <c r="J95" s="33"/>
      <c r="K95" s="33"/>
      <c r="L95" s="33"/>
      <c r="M95" s="33"/>
      <c r="N95" s="33"/>
      <c r="O95" s="33"/>
      <c r="P95" s="33"/>
      <c r="Q95" s="33"/>
      <c r="R95" s="33"/>
      <c r="S95" s="439"/>
      <c r="T95" s="439"/>
      <c r="U95" s="439"/>
      <c r="V95" s="301"/>
    </row>
    <row r="96" spans="1:267" s="31" customFormat="1" ht="15" x14ac:dyDescent="0.2">
      <c r="A96" s="33"/>
      <c r="B96" s="33"/>
      <c r="C96" s="33"/>
      <c r="D96" s="33"/>
      <c r="E96" s="347"/>
      <c r="F96" s="33"/>
      <c r="G96" s="348"/>
      <c r="H96" s="349"/>
      <c r="I96" s="33"/>
      <c r="J96" s="33"/>
      <c r="K96" s="33"/>
      <c r="L96" s="33"/>
      <c r="M96" s="33"/>
      <c r="N96" s="33"/>
      <c r="O96" s="33"/>
      <c r="P96" s="33"/>
      <c r="Q96" s="33"/>
      <c r="R96" s="33"/>
      <c r="S96" s="301"/>
      <c r="T96" s="301"/>
      <c r="U96" s="301"/>
      <c r="V96" s="301"/>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c r="IX96" s="26"/>
      <c r="IY96" s="26"/>
      <c r="IZ96" s="26"/>
      <c r="JA96" s="26"/>
      <c r="JB96" s="26"/>
      <c r="JC96" s="26"/>
      <c r="JD96" s="26"/>
      <c r="JE96" s="26"/>
      <c r="JF96" s="26"/>
      <c r="JG96" s="26"/>
    </row>
    <row r="97" spans="1:267" s="31" customFormat="1" x14ac:dyDescent="0.2">
      <c r="A97" s="26"/>
      <c r="B97" s="26"/>
      <c r="C97" s="26"/>
      <c r="D97" s="26"/>
      <c r="E97" s="48"/>
      <c r="F97" s="26"/>
      <c r="G97" s="49"/>
      <c r="H97" s="50"/>
      <c r="I97" s="26"/>
      <c r="J97" s="26"/>
      <c r="K97" s="26"/>
      <c r="L97" s="26"/>
      <c r="M97" s="26"/>
      <c r="N97" s="26"/>
      <c r="O97" s="26"/>
      <c r="P97" s="26"/>
      <c r="Q97" s="26"/>
      <c r="R97" s="26"/>
      <c r="S97" s="30"/>
      <c r="T97" s="30"/>
      <c r="U97" s="30"/>
      <c r="V97" s="30"/>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c r="JC97" s="26"/>
      <c r="JD97" s="26"/>
      <c r="JE97" s="26"/>
      <c r="JF97" s="26"/>
      <c r="JG97" s="26"/>
    </row>
    <row r="98" spans="1:267" s="31" customFormat="1" x14ac:dyDescent="0.2">
      <c r="A98" s="26"/>
      <c r="B98" s="26"/>
      <c r="C98" s="26"/>
      <c r="D98" s="26"/>
      <c r="E98" s="48"/>
      <c r="F98" s="26"/>
      <c r="G98" s="49"/>
      <c r="H98" s="50"/>
      <c r="I98" s="26"/>
      <c r="J98" s="26"/>
      <c r="K98" s="26"/>
      <c r="L98" s="26"/>
      <c r="M98" s="26"/>
      <c r="N98" s="26"/>
      <c r="O98" s="26"/>
      <c r="P98" s="26"/>
      <c r="Q98" s="26"/>
      <c r="R98" s="26"/>
      <c r="S98" s="30"/>
      <c r="T98" s="30"/>
      <c r="U98" s="30"/>
      <c r="V98" s="441"/>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c r="FX98" s="26"/>
      <c r="FY98" s="26"/>
      <c r="FZ98" s="26"/>
      <c r="GA98" s="26"/>
      <c r="GB98" s="26"/>
      <c r="GC98" s="26"/>
      <c r="GD98" s="26"/>
      <c r="GE98" s="26"/>
      <c r="GF98" s="26"/>
      <c r="GG98" s="26"/>
      <c r="GH98" s="26"/>
      <c r="GI98" s="26"/>
      <c r="GJ98" s="26"/>
      <c r="GK98" s="26"/>
      <c r="GL98" s="26"/>
      <c r="GM98" s="26"/>
      <c r="GN98" s="26"/>
      <c r="GO98" s="26"/>
      <c r="GP98" s="26"/>
      <c r="GQ98" s="26"/>
      <c r="GR98" s="26"/>
      <c r="GS98" s="26"/>
      <c r="GT98" s="26"/>
      <c r="GU98" s="26"/>
      <c r="GV98" s="26"/>
      <c r="GW98" s="26"/>
      <c r="GX98" s="26"/>
      <c r="GY98" s="26"/>
      <c r="GZ98" s="26"/>
      <c r="HA98" s="26"/>
      <c r="HB98" s="26"/>
      <c r="HC98" s="26"/>
      <c r="HD98" s="26"/>
      <c r="HE98" s="26"/>
      <c r="HF98" s="26"/>
      <c r="HG98" s="26"/>
      <c r="HH98" s="26"/>
      <c r="HI98" s="26"/>
      <c r="HJ98" s="26"/>
      <c r="HK98" s="26"/>
      <c r="HL98" s="26"/>
      <c r="HM98" s="26"/>
      <c r="HN98" s="26"/>
      <c r="HO98" s="26"/>
      <c r="HP98" s="26"/>
      <c r="HQ98" s="26"/>
      <c r="HR98" s="26"/>
      <c r="HS98" s="26"/>
      <c r="HT98" s="26"/>
      <c r="HU98" s="26"/>
      <c r="HV98" s="26"/>
      <c r="HW98" s="26"/>
      <c r="HX98" s="26"/>
      <c r="HY98" s="26"/>
      <c r="HZ98" s="26"/>
      <c r="IA98" s="26"/>
      <c r="IB98" s="26"/>
      <c r="IC98" s="26"/>
      <c r="ID98" s="26"/>
      <c r="IE98" s="26"/>
      <c r="IF98" s="26"/>
      <c r="IG98" s="26"/>
      <c r="IH98" s="26"/>
      <c r="II98" s="26"/>
      <c r="IJ98" s="26"/>
      <c r="IK98" s="26"/>
      <c r="IL98" s="26"/>
      <c r="IM98" s="26"/>
      <c r="IN98" s="26"/>
      <c r="IO98" s="26"/>
      <c r="IP98" s="26"/>
      <c r="IQ98" s="26"/>
      <c r="IR98" s="26"/>
      <c r="IS98" s="26"/>
      <c r="IT98" s="26"/>
      <c r="IU98" s="26"/>
      <c r="IV98" s="26"/>
      <c r="IW98" s="26"/>
      <c r="IX98" s="26"/>
      <c r="IY98" s="26"/>
      <c r="IZ98" s="26"/>
      <c r="JA98" s="26"/>
      <c r="JB98" s="26"/>
      <c r="JC98" s="26"/>
      <c r="JD98" s="26"/>
      <c r="JE98" s="26"/>
      <c r="JF98" s="26"/>
      <c r="JG98" s="26"/>
    </row>
    <row r="99" spans="1:267" s="31" customFormat="1" x14ac:dyDescent="0.2">
      <c r="A99" s="26"/>
      <c r="B99" s="26"/>
      <c r="C99" s="26"/>
      <c r="D99" s="26"/>
      <c r="E99" s="48"/>
      <c r="F99" s="26"/>
      <c r="G99" s="49"/>
      <c r="H99" s="50"/>
      <c r="I99" s="26"/>
      <c r="J99" s="26"/>
      <c r="K99" s="26"/>
      <c r="L99" s="26"/>
      <c r="M99" s="26"/>
      <c r="N99" s="26"/>
      <c r="O99" s="26"/>
      <c r="P99" s="26"/>
      <c r="Q99" s="26"/>
      <c r="R99" s="765"/>
      <c r="S99" s="441"/>
      <c r="T99" s="441"/>
      <c r="U99" s="441"/>
      <c r="V99" s="30"/>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c r="IM99" s="26"/>
      <c r="IN99" s="26"/>
      <c r="IO99" s="26"/>
      <c r="IP99" s="26"/>
      <c r="IQ99" s="26"/>
      <c r="IR99" s="26"/>
      <c r="IS99" s="26"/>
      <c r="IT99" s="26"/>
      <c r="IU99" s="26"/>
      <c r="IV99" s="26"/>
      <c r="IW99" s="26"/>
      <c r="IX99" s="26"/>
      <c r="IY99" s="26"/>
      <c r="IZ99" s="26"/>
      <c r="JA99" s="26"/>
      <c r="JB99" s="26"/>
      <c r="JC99" s="26"/>
      <c r="JD99" s="26"/>
      <c r="JE99" s="26"/>
      <c r="JF99" s="26"/>
      <c r="JG99" s="26"/>
    </row>
    <row r="100" spans="1:267" s="31" customFormat="1" ht="15" x14ac:dyDescent="0.2">
      <c r="A100" s="26"/>
      <c r="B100" s="26"/>
      <c r="C100" s="26"/>
      <c r="D100" s="26"/>
      <c r="E100" s="48"/>
      <c r="F100" s="26"/>
      <c r="G100" s="49"/>
      <c r="H100" s="50"/>
      <c r="I100" s="26"/>
      <c r="J100" s="26"/>
      <c r="K100" s="26"/>
      <c r="L100" s="26"/>
      <c r="M100" s="26"/>
      <c r="N100" s="26"/>
      <c r="O100" s="26"/>
      <c r="P100" s="26"/>
      <c r="Q100" s="26"/>
      <c r="R100" s="765"/>
      <c r="S100" s="439"/>
      <c r="T100" s="439"/>
      <c r="U100" s="439"/>
      <c r="V100" s="441"/>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c r="FX100" s="26"/>
      <c r="FY100" s="26"/>
      <c r="FZ100" s="26"/>
      <c r="GA100" s="26"/>
      <c r="GB100" s="26"/>
      <c r="GC100" s="26"/>
      <c r="GD100" s="26"/>
      <c r="GE100" s="26"/>
      <c r="GF100" s="26"/>
      <c r="GG100" s="26"/>
      <c r="GH100" s="26"/>
      <c r="GI100" s="26"/>
      <c r="GJ100" s="26"/>
      <c r="GK100" s="26"/>
      <c r="GL100" s="26"/>
      <c r="GM100" s="26"/>
      <c r="GN100" s="26"/>
      <c r="GO100" s="26"/>
      <c r="GP100" s="26"/>
      <c r="GQ100" s="26"/>
      <c r="GR100" s="26"/>
      <c r="GS100" s="26"/>
      <c r="GT100" s="26"/>
      <c r="GU100" s="26"/>
      <c r="GV100" s="26"/>
      <c r="GW100" s="26"/>
      <c r="GX100" s="26"/>
      <c r="GY100" s="26"/>
      <c r="GZ100" s="26"/>
      <c r="HA100" s="26"/>
      <c r="HB100" s="26"/>
      <c r="HC100" s="26"/>
      <c r="HD100" s="26"/>
      <c r="HE100" s="26"/>
      <c r="HF100" s="26"/>
      <c r="HG100" s="26"/>
      <c r="HH100" s="26"/>
      <c r="HI100" s="26"/>
      <c r="HJ100" s="26"/>
      <c r="HK100" s="26"/>
      <c r="HL100" s="26"/>
      <c r="HM100" s="26"/>
      <c r="HN100" s="26"/>
      <c r="HO100" s="26"/>
      <c r="HP100" s="26"/>
      <c r="HQ100" s="26"/>
      <c r="HR100" s="26"/>
      <c r="HS100" s="26"/>
      <c r="HT100" s="26"/>
      <c r="HU100" s="26"/>
      <c r="HV100" s="26"/>
      <c r="HW100" s="26"/>
      <c r="HX100" s="26"/>
      <c r="HY100" s="26"/>
      <c r="HZ100" s="26"/>
      <c r="IA100" s="26"/>
      <c r="IB100" s="26"/>
      <c r="IC100" s="26"/>
      <c r="ID100" s="26"/>
      <c r="IE100" s="26"/>
      <c r="IF100" s="26"/>
      <c r="IG100" s="26"/>
      <c r="IH100" s="26"/>
      <c r="II100" s="26"/>
      <c r="IJ100" s="26"/>
      <c r="IK100" s="26"/>
      <c r="IL100" s="26"/>
      <c r="IM100" s="26"/>
      <c r="IN100" s="26"/>
      <c r="IO100" s="26"/>
      <c r="IP100" s="26"/>
      <c r="IQ100" s="26"/>
      <c r="IR100" s="26"/>
      <c r="IS100" s="26"/>
      <c r="IT100" s="26"/>
      <c r="IU100" s="26"/>
      <c r="IV100" s="26"/>
      <c r="IW100" s="26"/>
      <c r="IX100" s="26"/>
      <c r="IY100" s="26"/>
      <c r="IZ100" s="26"/>
      <c r="JA100" s="26"/>
      <c r="JB100" s="26"/>
      <c r="JC100" s="26"/>
      <c r="JD100" s="26"/>
      <c r="JE100" s="26"/>
      <c r="JF100" s="26"/>
      <c r="JG100" s="26"/>
    </row>
    <row r="101" spans="1:267" s="31" customFormat="1" x14ac:dyDescent="0.2">
      <c r="A101" s="26"/>
      <c r="B101" s="26"/>
      <c r="C101" s="26"/>
      <c r="D101" s="26"/>
      <c r="E101" s="48"/>
      <c r="F101" s="26"/>
      <c r="G101" s="49"/>
      <c r="H101" s="50"/>
      <c r="I101" s="26"/>
      <c r="J101" s="26"/>
      <c r="K101" s="26"/>
      <c r="L101" s="26"/>
      <c r="M101" s="26"/>
      <c r="N101" s="26"/>
      <c r="O101" s="26"/>
      <c r="P101" s="26"/>
      <c r="Q101" s="26"/>
      <c r="R101" s="765"/>
      <c r="S101" s="26"/>
      <c r="T101" s="26"/>
      <c r="U101" s="440"/>
      <c r="V101" s="441"/>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c r="EF101" s="26"/>
      <c r="EG101" s="26"/>
      <c r="EH101" s="26"/>
      <c r="EI101" s="26"/>
      <c r="EJ101" s="26"/>
      <c r="EK101" s="26"/>
      <c r="EL101" s="26"/>
      <c r="EM101" s="26"/>
      <c r="EN101" s="26"/>
      <c r="EO101" s="26"/>
      <c r="EP101" s="26"/>
      <c r="EQ101" s="26"/>
      <c r="ER101" s="26"/>
      <c r="ES101" s="26"/>
      <c r="ET101" s="26"/>
      <c r="EU101" s="26"/>
      <c r="EV101" s="26"/>
      <c r="EW101" s="26"/>
      <c r="EX101" s="26"/>
      <c r="EY101" s="26"/>
      <c r="EZ101" s="26"/>
      <c r="FA101" s="26"/>
      <c r="FB101" s="26"/>
      <c r="FC101" s="26"/>
      <c r="FD101" s="26"/>
      <c r="FE101" s="26"/>
      <c r="FF101" s="26"/>
      <c r="FG101" s="26"/>
      <c r="FH101" s="26"/>
      <c r="FI101" s="26"/>
      <c r="FJ101" s="26"/>
      <c r="FK101" s="26"/>
      <c r="FL101" s="26"/>
      <c r="FM101" s="26"/>
      <c r="FN101" s="26"/>
      <c r="FO101" s="26"/>
      <c r="FP101" s="26"/>
      <c r="FQ101" s="26"/>
      <c r="FR101" s="26"/>
      <c r="FS101" s="26"/>
      <c r="FT101" s="26"/>
      <c r="FU101" s="26"/>
      <c r="FV101" s="26"/>
      <c r="FW101" s="26"/>
      <c r="FX101" s="26"/>
      <c r="FY101" s="26"/>
      <c r="FZ101" s="26"/>
      <c r="GA101" s="26"/>
      <c r="GB101" s="26"/>
      <c r="GC101" s="26"/>
      <c r="GD101" s="26"/>
      <c r="GE101" s="26"/>
      <c r="GF101" s="26"/>
      <c r="GG101" s="26"/>
      <c r="GH101" s="26"/>
      <c r="GI101" s="26"/>
      <c r="GJ101" s="26"/>
      <c r="GK101" s="26"/>
      <c r="GL101" s="26"/>
      <c r="GM101" s="26"/>
      <c r="GN101" s="26"/>
      <c r="GO101" s="26"/>
      <c r="GP101" s="26"/>
      <c r="GQ101" s="26"/>
      <c r="GR101" s="26"/>
      <c r="GS101" s="26"/>
      <c r="GT101" s="26"/>
      <c r="GU101" s="26"/>
      <c r="GV101" s="26"/>
      <c r="GW101" s="26"/>
      <c r="GX101" s="26"/>
      <c r="GY101" s="26"/>
      <c r="GZ101" s="26"/>
      <c r="HA101" s="26"/>
      <c r="HB101" s="26"/>
      <c r="HC101" s="26"/>
      <c r="HD101" s="26"/>
      <c r="HE101" s="26"/>
      <c r="HF101" s="26"/>
      <c r="HG101" s="26"/>
      <c r="HH101" s="26"/>
      <c r="HI101" s="26"/>
      <c r="HJ101" s="26"/>
      <c r="HK101" s="26"/>
      <c r="HL101" s="26"/>
      <c r="HM101" s="26"/>
      <c r="HN101" s="26"/>
      <c r="HO101" s="26"/>
      <c r="HP101" s="26"/>
      <c r="HQ101" s="26"/>
      <c r="HR101" s="26"/>
      <c r="HS101" s="26"/>
      <c r="HT101" s="26"/>
      <c r="HU101" s="26"/>
      <c r="HV101" s="26"/>
      <c r="HW101" s="26"/>
      <c r="HX101" s="26"/>
      <c r="HY101" s="26"/>
      <c r="HZ101" s="26"/>
      <c r="IA101" s="26"/>
      <c r="IB101" s="26"/>
      <c r="IC101" s="26"/>
      <c r="ID101" s="26"/>
      <c r="IE101" s="26"/>
      <c r="IF101" s="26"/>
      <c r="IG101" s="26"/>
      <c r="IH101" s="26"/>
      <c r="II101" s="26"/>
      <c r="IJ101" s="26"/>
      <c r="IK101" s="26"/>
      <c r="IL101" s="26"/>
      <c r="IM101" s="26"/>
      <c r="IN101" s="26"/>
      <c r="IO101" s="26"/>
      <c r="IP101" s="26"/>
      <c r="IQ101" s="26"/>
      <c r="IR101" s="26"/>
      <c r="IS101" s="26"/>
      <c r="IT101" s="26"/>
      <c r="IU101" s="26"/>
      <c r="IV101" s="26"/>
      <c r="IW101" s="26"/>
      <c r="IX101" s="26"/>
      <c r="IY101" s="26"/>
      <c r="IZ101" s="26"/>
      <c r="JA101" s="26"/>
      <c r="JB101" s="26"/>
      <c r="JC101" s="26"/>
      <c r="JD101" s="26"/>
      <c r="JE101" s="26"/>
      <c r="JF101" s="26"/>
      <c r="JG101" s="26"/>
    </row>
    <row r="102" spans="1:267" s="31" customFormat="1" x14ac:dyDescent="0.2">
      <c r="A102" s="26"/>
      <c r="B102" s="26"/>
      <c r="C102" s="26"/>
      <c r="D102" s="26"/>
      <c r="E102" s="48"/>
      <c r="F102" s="26"/>
      <c r="G102" s="49"/>
      <c r="H102" s="50"/>
      <c r="I102" s="26"/>
      <c r="J102" s="26"/>
      <c r="K102" s="26"/>
      <c r="L102" s="26"/>
      <c r="M102" s="26"/>
      <c r="N102" s="26"/>
      <c r="O102" s="26"/>
      <c r="P102" s="26"/>
      <c r="Q102" s="26"/>
      <c r="R102" s="765"/>
      <c r="S102" s="26"/>
      <c r="T102" s="26"/>
      <c r="U102" s="440"/>
      <c r="V102" s="30"/>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c r="FX102" s="26"/>
      <c r="FY102" s="26"/>
      <c r="FZ102" s="26"/>
      <c r="GA102" s="26"/>
      <c r="GB102" s="26"/>
      <c r="GC102" s="26"/>
      <c r="GD102" s="26"/>
      <c r="GE102" s="26"/>
      <c r="GF102" s="26"/>
      <c r="GG102" s="26"/>
      <c r="GH102" s="26"/>
      <c r="GI102" s="26"/>
      <c r="GJ102" s="26"/>
      <c r="GK102" s="26"/>
      <c r="GL102" s="26"/>
      <c r="GM102" s="26"/>
      <c r="GN102" s="26"/>
      <c r="GO102" s="26"/>
      <c r="GP102" s="26"/>
      <c r="GQ102" s="26"/>
      <c r="GR102" s="26"/>
      <c r="GS102" s="26"/>
      <c r="GT102" s="26"/>
      <c r="GU102" s="26"/>
      <c r="GV102" s="26"/>
      <c r="GW102" s="26"/>
      <c r="GX102" s="26"/>
      <c r="GY102" s="26"/>
      <c r="GZ102" s="26"/>
      <c r="HA102" s="26"/>
      <c r="HB102" s="26"/>
      <c r="HC102" s="26"/>
      <c r="HD102" s="26"/>
      <c r="HE102" s="26"/>
      <c r="HF102" s="26"/>
      <c r="HG102" s="26"/>
      <c r="HH102" s="26"/>
      <c r="HI102" s="26"/>
      <c r="HJ102" s="26"/>
      <c r="HK102" s="26"/>
      <c r="HL102" s="26"/>
      <c r="HM102" s="26"/>
      <c r="HN102" s="26"/>
      <c r="HO102" s="26"/>
      <c r="HP102" s="26"/>
      <c r="HQ102" s="26"/>
      <c r="HR102" s="26"/>
      <c r="HS102" s="26"/>
      <c r="HT102" s="26"/>
      <c r="HU102" s="26"/>
      <c r="HV102" s="26"/>
      <c r="HW102" s="26"/>
      <c r="HX102" s="26"/>
      <c r="HY102" s="26"/>
      <c r="HZ102" s="26"/>
      <c r="IA102" s="26"/>
      <c r="IB102" s="26"/>
      <c r="IC102" s="26"/>
      <c r="ID102" s="26"/>
      <c r="IE102" s="26"/>
      <c r="IF102" s="26"/>
      <c r="IG102" s="26"/>
      <c r="IH102" s="26"/>
      <c r="II102" s="26"/>
      <c r="IJ102" s="26"/>
      <c r="IK102" s="26"/>
      <c r="IL102" s="26"/>
      <c r="IM102" s="26"/>
      <c r="IN102" s="26"/>
      <c r="IO102" s="26"/>
      <c r="IP102" s="26"/>
      <c r="IQ102" s="26"/>
      <c r="IR102" s="26"/>
      <c r="IS102" s="26"/>
      <c r="IT102" s="26"/>
      <c r="IU102" s="26"/>
      <c r="IV102" s="26"/>
      <c r="IW102" s="26"/>
      <c r="IX102" s="26"/>
      <c r="IY102" s="26"/>
      <c r="IZ102" s="26"/>
      <c r="JA102" s="26"/>
      <c r="JB102" s="26"/>
      <c r="JC102" s="26"/>
      <c r="JD102" s="26"/>
      <c r="JE102" s="26"/>
      <c r="JF102" s="26"/>
      <c r="JG102" s="26"/>
    </row>
    <row r="103" spans="1:267" s="31" customFormat="1" x14ac:dyDescent="0.2">
      <c r="A103" s="26"/>
      <c r="B103" s="26"/>
      <c r="C103" s="26"/>
      <c r="D103" s="26"/>
      <c r="E103" s="48"/>
      <c r="F103" s="26"/>
      <c r="G103" s="49"/>
      <c r="H103" s="50"/>
      <c r="I103" s="26"/>
      <c r="J103" s="26"/>
      <c r="K103" s="26"/>
      <c r="L103" s="26"/>
      <c r="M103" s="26"/>
      <c r="N103" s="26"/>
      <c r="O103" s="26"/>
      <c r="P103" s="26"/>
      <c r="Q103" s="26"/>
      <c r="R103" s="26"/>
      <c r="S103" s="26"/>
      <c r="T103" s="26"/>
      <c r="U103" s="440"/>
      <c r="V103" s="30"/>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CZ103" s="26"/>
      <c r="DA103" s="26"/>
      <c r="DB103" s="26"/>
      <c r="DC103" s="26"/>
      <c r="DD103" s="26"/>
      <c r="DE103" s="26"/>
      <c r="DF103" s="26"/>
      <c r="DG103" s="26"/>
      <c r="DH103" s="26"/>
      <c r="DI103" s="26"/>
      <c r="DJ103" s="26"/>
      <c r="DK103" s="26"/>
      <c r="DL103" s="26"/>
      <c r="DM103" s="26"/>
      <c r="DN103" s="26"/>
      <c r="DO103" s="26"/>
      <c r="DP103" s="26"/>
      <c r="DQ103" s="26"/>
      <c r="DR103" s="26"/>
      <c r="DS103" s="26"/>
      <c r="DT103" s="26"/>
      <c r="DU103" s="26"/>
      <c r="DV103" s="26"/>
      <c r="DW103" s="26"/>
      <c r="DX103" s="26"/>
      <c r="DY103" s="26"/>
      <c r="DZ103" s="26"/>
      <c r="EA103" s="26"/>
      <c r="EB103" s="26"/>
      <c r="EC103" s="26"/>
      <c r="ED103" s="26"/>
      <c r="EE103" s="26"/>
      <c r="EF103" s="26"/>
      <c r="EG103" s="26"/>
      <c r="EH103" s="26"/>
      <c r="EI103" s="26"/>
      <c r="EJ103" s="26"/>
      <c r="EK103" s="26"/>
      <c r="EL103" s="26"/>
      <c r="EM103" s="26"/>
      <c r="EN103" s="26"/>
      <c r="EO103" s="26"/>
      <c r="EP103" s="26"/>
      <c r="EQ103" s="26"/>
      <c r="ER103" s="26"/>
      <c r="ES103" s="26"/>
      <c r="ET103" s="26"/>
      <c r="EU103" s="26"/>
      <c r="EV103" s="26"/>
      <c r="EW103" s="26"/>
      <c r="EX103" s="26"/>
      <c r="EY103" s="26"/>
      <c r="EZ103" s="26"/>
      <c r="FA103" s="26"/>
      <c r="FB103" s="26"/>
      <c r="FC103" s="26"/>
      <c r="FD103" s="26"/>
      <c r="FE103" s="26"/>
      <c r="FF103" s="26"/>
      <c r="FG103" s="26"/>
      <c r="FH103" s="26"/>
      <c r="FI103" s="26"/>
      <c r="FJ103" s="26"/>
      <c r="FK103" s="26"/>
      <c r="FL103" s="26"/>
      <c r="FM103" s="26"/>
      <c r="FN103" s="26"/>
      <c r="FO103" s="26"/>
      <c r="FP103" s="26"/>
      <c r="FQ103" s="26"/>
      <c r="FR103" s="26"/>
      <c r="FS103" s="26"/>
      <c r="FT103" s="26"/>
      <c r="FU103" s="26"/>
      <c r="FV103" s="26"/>
      <c r="FW103" s="26"/>
      <c r="FX103" s="26"/>
      <c r="FY103" s="26"/>
      <c r="FZ103" s="26"/>
      <c r="GA103" s="26"/>
      <c r="GB103" s="26"/>
      <c r="GC103" s="26"/>
      <c r="GD103" s="26"/>
      <c r="GE103" s="26"/>
      <c r="GF103" s="26"/>
      <c r="GG103" s="26"/>
      <c r="GH103" s="26"/>
      <c r="GI103" s="26"/>
      <c r="GJ103" s="26"/>
      <c r="GK103" s="26"/>
      <c r="GL103" s="26"/>
      <c r="GM103" s="26"/>
      <c r="GN103" s="26"/>
      <c r="GO103" s="26"/>
      <c r="GP103" s="26"/>
      <c r="GQ103" s="26"/>
      <c r="GR103" s="26"/>
      <c r="GS103" s="26"/>
      <c r="GT103" s="26"/>
      <c r="GU103" s="26"/>
      <c r="GV103" s="26"/>
      <c r="GW103" s="26"/>
      <c r="GX103" s="26"/>
      <c r="GY103" s="26"/>
      <c r="GZ103" s="26"/>
      <c r="HA103" s="26"/>
      <c r="HB103" s="26"/>
      <c r="HC103" s="26"/>
      <c r="HD103" s="26"/>
      <c r="HE103" s="26"/>
      <c r="HF103" s="26"/>
      <c r="HG103" s="26"/>
      <c r="HH103" s="26"/>
      <c r="HI103" s="26"/>
      <c r="HJ103" s="26"/>
      <c r="HK103" s="26"/>
      <c r="HL103" s="26"/>
      <c r="HM103" s="26"/>
      <c r="HN103" s="26"/>
      <c r="HO103" s="26"/>
      <c r="HP103" s="26"/>
      <c r="HQ103" s="26"/>
      <c r="HR103" s="26"/>
      <c r="HS103" s="26"/>
      <c r="HT103" s="26"/>
      <c r="HU103" s="26"/>
      <c r="HV103" s="26"/>
      <c r="HW103" s="26"/>
      <c r="HX103" s="26"/>
      <c r="HY103" s="26"/>
      <c r="HZ103" s="26"/>
      <c r="IA103" s="26"/>
      <c r="IB103" s="26"/>
      <c r="IC103" s="26"/>
      <c r="ID103" s="26"/>
      <c r="IE103" s="26"/>
      <c r="IF103" s="26"/>
      <c r="IG103" s="26"/>
      <c r="IH103" s="26"/>
      <c r="II103" s="26"/>
      <c r="IJ103" s="26"/>
      <c r="IK103" s="26"/>
      <c r="IL103" s="26"/>
      <c r="IM103" s="26"/>
      <c r="IN103" s="26"/>
      <c r="IO103" s="26"/>
      <c r="IP103" s="26"/>
      <c r="IQ103" s="26"/>
      <c r="IR103" s="26"/>
      <c r="IS103" s="26"/>
      <c r="IT103" s="26"/>
      <c r="IU103" s="26"/>
      <c r="IV103" s="26"/>
      <c r="IW103" s="26"/>
      <c r="IX103" s="26"/>
      <c r="IY103" s="26"/>
      <c r="IZ103" s="26"/>
      <c r="JA103" s="26"/>
      <c r="JB103" s="26"/>
      <c r="JC103" s="26"/>
      <c r="JD103" s="26"/>
      <c r="JE103" s="26"/>
      <c r="JF103" s="26"/>
      <c r="JG103" s="26"/>
    </row>
    <row r="104" spans="1:267" s="31" customFormat="1" x14ac:dyDescent="0.2">
      <c r="A104" s="26"/>
      <c r="B104" s="26"/>
      <c r="C104" s="26"/>
      <c r="D104" s="26"/>
      <c r="E104" s="48"/>
      <c r="F104" s="26"/>
      <c r="G104" s="49"/>
      <c r="H104" s="50"/>
      <c r="I104" s="26"/>
      <c r="J104" s="26"/>
      <c r="K104" s="26"/>
      <c r="L104" s="26"/>
      <c r="M104" s="26"/>
      <c r="N104" s="26"/>
      <c r="O104" s="26"/>
      <c r="P104" s="26"/>
      <c r="Q104" s="773"/>
      <c r="R104" s="26"/>
      <c r="S104" s="26"/>
      <c r="T104" s="26"/>
      <c r="U104" s="441"/>
      <c r="V104" s="30"/>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CZ104" s="26"/>
      <c r="DA104" s="26"/>
      <c r="DB104" s="26"/>
      <c r="DC104" s="26"/>
      <c r="DD104" s="26"/>
      <c r="DE104" s="26"/>
      <c r="DF104" s="26"/>
      <c r="DG104" s="26"/>
      <c r="DH104" s="26"/>
      <c r="DI104" s="26"/>
      <c r="DJ104" s="26"/>
      <c r="DK104" s="26"/>
      <c r="DL104" s="26"/>
      <c r="DM104" s="26"/>
      <c r="DN104" s="26"/>
      <c r="DO104" s="26"/>
      <c r="DP104" s="26"/>
      <c r="DQ104" s="26"/>
      <c r="DR104" s="26"/>
      <c r="DS104" s="26"/>
      <c r="DT104" s="26"/>
      <c r="DU104" s="26"/>
      <c r="DV104" s="26"/>
      <c r="DW104" s="26"/>
      <c r="DX104" s="26"/>
      <c r="DY104" s="26"/>
      <c r="DZ104" s="26"/>
      <c r="EA104" s="26"/>
      <c r="EB104" s="26"/>
      <c r="EC104" s="26"/>
      <c r="ED104" s="26"/>
      <c r="EE104" s="26"/>
      <c r="EF104" s="26"/>
      <c r="EG104" s="26"/>
      <c r="EH104" s="26"/>
      <c r="EI104" s="26"/>
      <c r="EJ104" s="26"/>
      <c r="EK104" s="26"/>
      <c r="EL104" s="26"/>
      <c r="EM104" s="26"/>
      <c r="EN104" s="26"/>
      <c r="EO104" s="26"/>
      <c r="EP104" s="26"/>
      <c r="EQ104" s="26"/>
      <c r="ER104" s="26"/>
      <c r="ES104" s="26"/>
      <c r="ET104" s="26"/>
      <c r="EU104" s="26"/>
      <c r="EV104" s="26"/>
      <c r="EW104" s="26"/>
      <c r="EX104" s="26"/>
      <c r="EY104" s="26"/>
      <c r="EZ104" s="26"/>
      <c r="FA104" s="26"/>
      <c r="FB104" s="26"/>
      <c r="FC104" s="26"/>
      <c r="FD104" s="26"/>
      <c r="FE104" s="26"/>
      <c r="FF104" s="26"/>
      <c r="FG104" s="26"/>
      <c r="FH104" s="26"/>
      <c r="FI104" s="26"/>
      <c r="FJ104" s="26"/>
      <c r="FK104" s="26"/>
      <c r="FL104" s="26"/>
      <c r="FM104" s="26"/>
      <c r="FN104" s="26"/>
      <c r="FO104" s="26"/>
      <c r="FP104" s="26"/>
      <c r="FQ104" s="26"/>
      <c r="FR104" s="26"/>
      <c r="FS104" s="26"/>
      <c r="FT104" s="26"/>
      <c r="FU104" s="26"/>
      <c r="FV104" s="26"/>
      <c r="FW104" s="26"/>
      <c r="FX104" s="26"/>
      <c r="FY104" s="26"/>
      <c r="FZ104" s="26"/>
      <c r="GA104" s="26"/>
      <c r="GB104" s="26"/>
      <c r="GC104" s="26"/>
      <c r="GD104" s="26"/>
      <c r="GE104" s="26"/>
      <c r="GF104" s="26"/>
      <c r="GG104" s="26"/>
      <c r="GH104" s="26"/>
      <c r="GI104" s="26"/>
      <c r="GJ104" s="26"/>
      <c r="GK104" s="26"/>
      <c r="GL104" s="26"/>
      <c r="GM104" s="26"/>
      <c r="GN104" s="26"/>
      <c r="GO104" s="26"/>
      <c r="GP104" s="26"/>
      <c r="GQ104" s="26"/>
      <c r="GR104" s="26"/>
      <c r="GS104" s="26"/>
      <c r="GT104" s="26"/>
      <c r="GU104" s="26"/>
      <c r="GV104" s="26"/>
      <c r="GW104" s="26"/>
      <c r="GX104" s="26"/>
      <c r="GY104" s="26"/>
      <c r="GZ104" s="26"/>
      <c r="HA104" s="26"/>
      <c r="HB104" s="26"/>
      <c r="HC104" s="26"/>
      <c r="HD104" s="26"/>
      <c r="HE104" s="26"/>
      <c r="HF104" s="26"/>
      <c r="HG104" s="26"/>
      <c r="HH104" s="26"/>
      <c r="HI104" s="26"/>
      <c r="HJ104" s="26"/>
      <c r="HK104" s="26"/>
      <c r="HL104" s="26"/>
      <c r="HM104" s="26"/>
      <c r="HN104" s="26"/>
      <c r="HO104" s="26"/>
      <c r="HP104" s="26"/>
      <c r="HQ104" s="26"/>
      <c r="HR104" s="26"/>
      <c r="HS104" s="26"/>
      <c r="HT104" s="26"/>
      <c r="HU104" s="26"/>
      <c r="HV104" s="26"/>
      <c r="HW104" s="26"/>
      <c r="HX104" s="26"/>
      <c r="HY104" s="26"/>
      <c r="HZ104" s="26"/>
      <c r="IA104" s="26"/>
      <c r="IB104" s="26"/>
      <c r="IC104" s="26"/>
      <c r="ID104" s="26"/>
      <c r="IE104" s="26"/>
      <c r="IF104" s="26"/>
      <c r="IG104" s="26"/>
      <c r="IH104" s="26"/>
      <c r="II104" s="26"/>
      <c r="IJ104" s="26"/>
      <c r="IK104" s="26"/>
      <c r="IL104" s="26"/>
      <c r="IM104" s="26"/>
      <c r="IN104" s="26"/>
      <c r="IO104" s="26"/>
      <c r="IP104" s="26"/>
      <c r="IQ104" s="26"/>
      <c r="IR104" s="26"/>
      <c r="IS104" s="26"/>
      <c r="IT104" s="26"/>
      <c r="IU104" s="26"/>
      <c r="IV104" s="26"/>
      <c r="IW104" s="26"/>
      <c r="IX104" s="26"/>
      <c r="IY104" s="26"/>
      <c r="IZ104" s="26"/>
      <c r="JA104" s="26"/>
      <c r="JB104" s="26"/>
      <c r="JC104" s="26"/>
      <c r="JD104" s="26"/>
      <c r="JE104" s="26"/>
      <c r="JF104" s="26"/>
      <c r="JG104" s="26"/>
    </row>
  </sheetData>
  <mergeCells count="36">
    <mergeCell ref="D24:D25"/>
    <mergeCell ref="E24:E25"/>
    <mergeCell ref="F24:F25"/>
    <mergeCell ref="A15:V15"/>
    <mergeCell ref="A16:V16"/>
    <mergeCell ref="A17:V17"/>
    <mergeCell ref="B20:V20"/>
    <mergeCell ref="B21:V21"/>
    <mergeCell ref="B22:V22"/>
    <mergeCell ref="U24:U25"/>
    <mergeCell ref="V24:V25"/>
    <mergeCell ref="A30:A76"/>
    <mergeCell ref="B30:B41"/>
    <mergeCell ref="B42:B57"/>
    <mergeCell ref="B58:B67"/>
    <mergeCell ref="B69:B76"/>
    <mergeCell ref="G24:G25"/>
    <mergeCell ref="H24:H25"/>
    <mergeCell ref="I24:K24"/>
    <mergeCell ref="L24:N24"/>
    <mergeCell ref="O24:Q24"/>
    <mergeCell ref="R24:T24"/>
    <mergeCell ref="A24:A25"/>
    <mergeCell ref="B24:B25"/>
    <mergeCell ref="C24:C25"/>
    <mergeCell ref="A84:A87"/>
    <mergeCell ref="B84:B87"/>
    <mergeCell ref="F88:H88"/>
    <mergeCell ref="H92:L92"/>
    <mergeCell ref="Q92:S92"/>
    <mergeCell ref="B93:D93"/>
    <mergeCell ref="H93:L93"/>
    <mergeCell ref="Q93:S93"/>
    <mergeCell ref="B94:D94"/>
    <mergeCell ref="H94:L94"/>
    <mergeCell ref="Q94:S94"/>
  </mergeCells>
  <pageMargins left="0.23622047244094491" right="0.23622047244094491" top="0.39370078740157483" bottom="0.59055118110236227" header="0.51181102362204722" footer="0.51181102362204722"/>
  <pageSetup paperSize="5" scale="10" fitToHeight="0" orientation="landscape" r:id="rId1"/>
  <headerFooter>
    <oddFooter>&amp;CPágina &amp;P de &amp;N</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6C153-A239-41FC-8FBA-451D52A16E87}">
  <sheetPr codeName="Sheet24"/>
  <dimension ref="B2:J10"/>
  <sheetViews>
    <sheetView workbookViewId="0"/>
  </sheetViews>
  <sheetFormatPr defaultColWidth="11.42578125" defaultRowHeight="14.25" x14ac:dyDescent="0.2"/>
  <cols>
    <col min="1" max="1" width="11.42578125" style="2"/>
    <col min="2" max="2" width="21.42578125" style="2" customWidth="1"/>
    <col min="3" max="3" width="41.28515625" style="2" customWidth="1"/>
    <col min="4" max="4" width="16.42578125" style="2" bestFit="1" customWidth="1"/>
    <col min="5" max="5" width="18" style="2" customWidth="1"/>
    <col min="6" max="6" width="17" style="2" customWidth="1"/>
    <col min="7" max="7" width="16.42578125" style="2" customWidth="1"/>
    <col min="8" max="8" width="18.28515625" style="2" customWidth="1"/>
    <col min="9" max="16384" width="11.42578125" style="2"/>
  </cols>
  <sheetData>
    <row r="2" spans="2:10" x14ac:dyDescent="0.2">
      <c r="B2" s="1090" t="s">
        <v>675</v>
      </c>
      <c r="C2" s="1091"/>
      <c r="D2" s="1091"/>
    </row>
    <row r="3" spans="2:10" x14ac:dyDescent="0.2">
      <c r="B3" s="412" t="s">
        <v>676</v>
      </c>
      <c r="C3" s="412" t="s">
        <v>677</v>
      </c>
      <c r="D3" s="413" t="s">
        <v>856</v>
      </c>
      <c r="E3" s="413" t="s">
        <v>857</v>
      </c>
      <c r="F3" s="413" t="s">
        <v>858</v>
      </c>
      <c r="G3" s="413" t="s">
        <v>859</v>
      </c>
      <c r="H3" s="413" t="s">
        <v>678</v>
      </c>
    </row>
    <row r="4" spans="2:10" ht="27" x14ac:dyDescent="0.3">
      <c r="B4" s="407" t="s">
        <v>679</v>
      </c>
      <c r="C4" s="408" t="s">
        <v>680</v>
      </c>
      <c r="D4" s="409">
        <v>31959377</v>
      </c>
      <c r="E4" s="409">
        <v>42612502</v>
      </c>
      <c r="F4" s="409">
        <v>42612502</v>
      </c>
      <c r="G4" s="409">
        <v>60367714</v>
      </c>
      <c r="H4" s="409">
        <f>SUM(D4:G4)</f>
        <v>177552095</v>
      </c>
      <c r="I4" s="374" t="s">
        <v>680</v>
      </c>
      <c r="J4" s="371">
        <f>D4/D7</f>
        <v>0.56006283691060588</v>
      </c>
    </row>
    <row r="5" spans="2:10" ht="38.25" x14ac:dyDescent="0.2">
      <c r="B5" s="410" t="s">
        <v>681</v>
      </c>
      <c r="C5" s="408" t="s">
        <v>682</v>
      </c>
      <c r="D5" s="409">
        <v>14249433</v>
      </c>
      <c r="E5" s="409">
        <v>18999244</v>
      </c>
      <c r="F5" s="409">
        <v>18999244</v>
      </c>
      <c r="G5" s="409">
        <v>26915597</v>
      </c>
      <c r="H5" s="409">
        <f t="shared" ref="H5:H6" si="0">SUM(D5:G5)</f>
        <v>79163518</v>
      </c>
      <c r="I5" s="374" t="s">
        <v>682</v>
      </c>
      <c r="J5" s="371">
        <f>D5/D7</f>
        <v>0.24971005756299958</v>
      </c>
    </row>
    <row r="6" spans="2:10" x14ac:dyDescent="0.2">
      <c r="B6" s="410" t="s">
        <v>683</v>
      </c>
      <c r="C6" s="358" t="s">
        <v>684</v>
      </c>
      <c r="D6" s="409">
        <v>10855103</v>
      </c>
      <c r="E6" s="409">
        <v>14473470</v>
      </c>
      <c r="F6" s="409">
        <v>14473471</v>
      </c>
      <c r="G6" s="409">
        <v>20504083</v>
      </c>
      <c r="H6" s="409">
        <f t="shared" si="0"/>
        <v>60306127</v>
      </c>
      <c r="I6" s="374" t="s">
        <v>685</v>
      </c>
      <c r="J6" s="371">
        <f>D6/D7</f>
        <v>0.1902271055263946</v>
      </c>
    </row>
    <row r="7" spans="2:10" x14ac:dyDescent="0.2">
      <c r="B7" s="1092" t="s">
        <v>184</v>
      </c>
      <c r="C7" s="1092"/>
      <c r="D7" s="414">
        <f>SUM(D4:D6)</f>
        <v>57063913</v>
      </c>
      <c r="E7" s="414">
        <f t="shared" ref="E7" si="1">SUM(E4:E6)</f>
        <v>76085216</v>
      </c>
      <c r="F7" s="414">
        <f>SUM(F4:F6)</f>
        <v>76085217</v>
      </c>
      <c r="G7" s="414">
        <f t="shared" ref="G7" si="2">SUM(G4:G6)</f>
        <v>107787394</v>
      </c>
      <c r="H7" s="414">
        <f>SUM(H4:H6)</f>
        <v>317021740</v>
      </c>
      <c r="I7" s="374"/>
      <c r="J7" s="372"/>
    </row>
    <row r="8" spans="2:10" x14ac:dyDescent="0.2">
      <c r="B8" s="1093" t="s">
        <v>862</v>
      </c>
      <c r="C8" s="1093"/>
      <c r="D8" s="1093"/>
      <c r="E8" s="58"/>
      <c r="F8" s="58"/>
      <c r="G8" s="58"/>
      <c r="H8" s="411"/>
      <c r="I8" s="374"/>
    </row>
    <row r="10" spans="2:10" x14ac:dyDescent="0.2">
      <c r="C10" s="369" t="s">
        <v>863</v>
      </c>
    </row>
  </sheetData>
  <mergeCells count="3">
    <mergeCell ref="B2:D2"/>
    <mergeCell ref="B7:C7"/>
    <mergeCell ref="B8:D8"/>
  </mergeCells>
  <phoneticPr fontId="54" type="noConversion"/>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04288-FD19-4F10-95D6-6D584B1FFA40}">
  <sheetPr codeName="Sheet23"/>
  <dimension ref="A2:K15"/>
  <sheetViews>
    <sheetView workbookViewId="0"/>
  </sheetViews>
  <sheetFormatPr defaultColWidth="11.42578125" defaultRowHeight="14.25" x14ac:dyDescent="0.2"/>
  <cols>
    <col min="1" max="1" width="4.7109375" style="2" customWidth="1"/>
    <col min="2" max="2" width="41.42578125" style="2" customWidth="1"/>
    <col min="3" max="3" width="31.28515625" style="2" customWidth="1"/>
    <col min="4" max="4" width="22.42578125" style="2" customWidth="1"/>
    <col min="5" max="7" width="11.42578125" style="2"/>
    <col min="8" max="8" width="39.140625" style="2" customWidth="1"/>
    <col min="9" max="9" width="32.140625" style="2" customWidth="1"/>
    <col min="10" max="16384" width="11.42578125" style="2"/>
  </cols>
  <sheetData>
    <row r="2" spans="1:11" ht="15" thickBot="1" x14ac:dyDescent="0.25">
      <c r="A2" s="368"/>
      <c r="B2" s="1094" t="s">
        <v>672</v>
      </c>
      <c r="C2" s="1095"/>
      <c r="D2" s="369"/>
    </row>
    <row r="3" spans="1:11" ht="30" customHeight="1" x14ac:dyDescent="0.2">
      <c r="B3" s="402" t="s">
        <v>673</v>
      </c>
      <c r="C3" s="403" t="s">
        <v>847</v>
      </c>
      <c r="D3" s="403" t="s">
        <v>855</v>
      </c>
    </row>
    <row r="4" spans="1:11" ht="15" x14ac:dyDescent="0.2">
      <c r="B4" s="391" t="s">
        <v>848</v>
      </c>
      <c r="C4" s="392"/>
      <c r="D4" s="392"/>
      <c r="E4" s="370" t="e">
        <f>#REF!/#REF!</f>
        <v>#REF!</v>
      </c>
      <c r="F4" s="370"/>
      <c r="G4" s="370"/>
      <c r="H4" s="370"/>
      <c r="I4" s="370"/>
      <c r="J4" s="370" t="e">
        <f>#REF!/#REF!</f>
        <v>#REF!</v>
      </c>
      <c r="K4" s="370"/>
    </row>
    <row r="5" spans="1:11" ht="15" x14ac:dyDescent="0.2">
      <c r="B5" s="393" t="s">
        <v>849</v>
      </c>
      <c r="C5" s="394">
        <v>221113062</v>
      </c>
      <c r="D5" s="406">
        <f>+C5/$C$11</f>
        <v>0.6974697129603793</v>
      </c>
      <c r="E5" s="370" t="e">
        <f>#REF!/#REF!</f>
        <v>#REF!</v>
      </c>
      <c r="F5" s="370"/>
      <c r="G5" s="370"/>
      <c r="H5" s="370"/>
      <c r="I5" s="370"/>
      <c r="J5" s="370" t="e">
        <f>#REF!/#REF!</f>
        <v>#REF!</v>
      </c>
      <c r="K5" s="370"/>
    </row>
    <row r="6" spans="1:11" ht="15" x14ac:dyDescent="0.2">
      <c r="B6" s="393" t="s">
        <v>850</v>
      </c>
      <c r="C6" s="394">
        <v>76841000</v>
      </c>
      <c r="D6" s="406">
        <f t="shared" ref="D6:D10" si="0">+C6/$C$11</f>
        <v>0.24238400811250357</v>
      </c>
      <c r="E6" s="370" t="e">
        <f>#REF!/#REF!</f>
        <v>#REF!</v>
      </c>
      <c r="F6" s="370"/>
      <c r="G6" s="370"/>
      <c r="H6" s="370"/>
      <c r="I6" s="370"/>
      <c r="J6" s="370" t="e">
        <f>#REF!/#REF!</f>
        <v>#REF!</v>
      </c>
      <c r="K6" s="370"/>
    </row>
    <row r="7" spans="1:11" ht="15" x14ac:dyDescent="0.2">
      <c r="B7" s="393" t="s">
        <v>851</v>
      </c>
      <c r="C7" s="394">
        <v>16017678</v>
      </c>
      <c r="D7" s="406">
        <f t="shared" si="0"/>
        <v>5.0525487621132861E-2</v>
      </c>
      <c r="E7" s="370" t="e">
        <f>#REF!/#REF!</f>
        <v>#REF!</v>
      </c>
      <c r="F7" s="370"/>
      <c r="G7" s="370"/>
      <c r="H7" s="370"/>
      <c r="I7" s="370"/>
      <c r="J7" s="370" t="e">
        <f>#REF!/#REF!</f>
        <v>#REF!</v>
      </c>
      <c r="K7" s="370"/>
    </row>
    <row r="8" spans="1:11" ht="15" x14ac:dyDescent="0.2">
      <c r="B8" s="398" t="s">
        <v>852</v>
      </c>
      <c r="C8" s="399">
        <f>SUM(C5:C7)</f>
        <v>313971740</v>
      </c>
      <c r="D8" s="399"/>
      <c r="E8" s="370" t="e">
        <f>#REF!/#REF!</f>
        <v>#REF!</v>
      </c>
      <c r="F8" s="370"/>
      <c r="G8" s="370"/>
      <c r="H8" s="370"/>
      <c r="I8" s="370"/>
      <c r="J8" s="370" t="e">
        <f>#REF!/#REF!</f>
        <v>#REF!</v>
      </c>
      <c r="K8" s="370"/>
    </row>
    <row r="9" spans="1:11" ht="15" x14ac:dyDescent="0.2">
      <c r="B9" s="395" t="s">
        <v>826</v>
      </c>
      <c r="C9" s="396">
        <v>50000</v>
      </c>
      <c r="D9" s="404">
        <f>+C9/$C$11</f>
        <v>1.5771789026203692E-4</v>
      </c>
      <c r="E9" s="372"/>
      <c r="J9" s="373" t="e">
        <f>SUM(J4:J8)</f>
        <v>#REF!</v>
      </c>
      <c r="K9" s="370"/>
    </row>
    <row r="10" spans="1:11" ht="15" x14ac:dyDescent="0.2">
      <c r="B10" s="393" t="s">
        <v>853</v>
      </c>
      <c r="C10" s="397">
        <v>3000000</v>
      </c>
      <c r="D10" s="405">
        <f t="shared" si="0"/>
        <v>9.463073415722216E-3</v>
      </c>
      <c r="J10" s="370"/>
      <c r="K10" s="370"/>
    </row>
    <row r="11" spans="1:11" ht="15.75" thickBot="1" x14ac:dyDescent="0.25">
      <c r="B11" s="400" t="s">
        <v>854</v>
      </c>
      <c r="C11" s="401">
        <f>SUM(C8:C10)</f>
        <v>317021740</v>
      </c>
      <c r="D11" s="401"/>
      <c r="J11" s="370"/>
      <c r="K11" s="370"/>
    </row>
    <row r="12" spans="1:11" ht="15" thickTop="1" x14ac:dyDescent="0.2">
      <c r="B12" s="1096" t="s">
        <v>860</v>
      </c>
      <c r="C12" s="1096"/>
    </row>
    <row r="15" spans="1:11" x14ac:dyDescent="0.2">
      <c r="D15" s="1091" t="s">
        <v>674</v>
      </c>
      <c r="E15" s="1091"/>
      <c r="F15" s="1091"/>
      <c r="G15" s="1091"/>
      <c r="H15" s="1091"/>
      <c r="I15" s="1091"/>
      <c r="J15" s="1091"/>
    </row>
  </sheetData>
  <mergeCells count="3">
    <mergeCell ref="B2:C2"/>
    <mergeCell ref="B12:C12"/>
    <mergeCell ref="D15:J15"/>
  </mergeCells>
  <phoneticPr fontId="54" type="noConversion"/>
  <pageMargins left="0.7" right="0.7" top="0.75" bottom="0.75" header="0.3" footer="0.3"/>
  <ignoredErrors>
    <ignoredError sqref="E4 E5:J9 J4" evalError="1"/>
  </ignoredErrors>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0DD7A-0B56-4B0F-9B2D-5972BE40E1D2}">
  <sheetPr codeName="Sheet25"/>
  <dimension ref="A9:E121"/>
  <sheetViews>
    <sheetView workbookViewId="0"/>
  </sheetViews>
  <sheetFormatPr defaultColWidth="9.140625" defaultRowHeight="14.25" x14ac:dyDescent="0.2"/>
  <cols>
    <col min="1" max="1" width="11.7109375" style="2" customWidth="1"/>
    <col min="2" max="2" width="74.5703125" style="2" customWidth="1"/>
    <col min="3" max="3" width="25.28515625" style="2" customWidth="1"/>
    <col min="4" max="4" width="29.85546875" style="2" customWidth="1"/>
    <col min="5" max="16384" width="9.140625" style="2"/>
  </cols>
  <sheetData>
    <row r="9" spans="1:4" ht="15" customHeight="1" x14ac:dyDescent="0.2">
      <c r="A9" s="1102" t="s">
        <v>937</v>
      </c>
      <c r="B9" s="1102"/>
      <c r="C9" s="1102"/>
      <c r="D9" s="1102"/>
    </row>
    <row r="10" spans="1:4" x14ac:dyDescent="0.2">
      <c r="A10" s="1103"/>
      <c r="B10" s="1103"/>
      <c r="C10" s="1103"/>
      <c r="D10" s="1103"/>
    </row>
    <row r="11" spans="1:4" x14ac:dyDescent="0.2">
      <c r="A11" s="412" t="s">
        <v>45</v>
      </c>
      <c r="B11" s="412" t="s">
        <v>686</v>
      </c>
      <c r="C11" s="412" t="s">
        <v>878</v>
      </c>
      <c r="D11" s="412" t="s">
        <v>877</v>
      </c>
    </row>
    <row r="12" spans="1:4" x14ac:dyDescent="0.2">
      <c r="A12" s="377" t="s">
        <v>687</v>
      </c>
      <c r="B12" s="378" t="s">
        <v>688</v>
      </c>
      <c r="C12" s="379">
        <f>IFERROR(VLOOKUP(A12,[4]FORMULACION!$A$10:$C$110,3,0),0)</f>
        <v>146007162</v>
      </c>
      <c r="D12" s="379">
        <v>0</v>
      </c>
    </row>
    <row r="13" spans="1:4" x14ac:dyDescent="0.2">
      <c r="A13" s="377" t="s">
        <v>689</v>
      </c>
      <c r="B13" s="378" t="s">
        <v>690</v>
      </c>
      <c r="C13" s="379">
        <f>IFERROR(VLOOKUP(A13,[4]FORMULACION!$A$10:$C$110,3,0),0)</f>
        <v>6404000</v>
      </c>
      <c r="D13" s="379">
        <v>0</v>
      </c>
    </row>
    <row r="14" spans="1:4" x14ac:dyDescent="0.2">
      <c r="A14" s="377" t="s">
        <v>691</v>
      </c>
      <c r="B14" s="378" t="s">
        <v>692</v>
      </c>
      <c r="C14" s="379">
        <f>IFERROR(VLOOKUP(A14,[4]FORMULACION!$A$10:$C$110,3,0),0)</f>
        <v>4002000</v>
      </c>
      <c r="D14" s="379">
        <v>0</v>
      </c>
    </row>
    <row r="15" spans="1:4" x14ac:dyDescent="0.2">
      <c r="A15" s="377" t="s">
        <v>693</v>
      </c>
      <c r="B15" s="380" t="s">
        <v>694</v>
      </c>
      <c r="C15" s="379">
        <f>IFERROR(VLOOKUP(A15,[4]FORMULACION!$A$10:$C$110,3,0),0)</f>
        <v>13000000</v>
      </c>
      <c r="D15" s="379">
        <v>0</v>
      </c>
    </row>
    <row r="16" spans="1:4" x14ac:dyDescent="0.2">
      <c r="A16" s="377" t="s">
        <v>695</v>
      </c>
      <c r="B16" s="378" t="s">
        <v>696</v>
      </c>
      <c r="C16" s="379">
        <f>IFERROR(VLOOKUP(A16,[4]FORMULACION!$A$10:$C$110,3,0),0)</f>
        <v>4000000</v>
      </c>
      <c r="D16" s="379">
        <v>0</v>
      </c>
    </row>
    <row r="17" spans="1:5" ht="15" x14ac:dyDescent="0.25">
      <c r="A17" s="377" t="s">
        <v>697</v>
      </c>
      <c r="B17" s="378" t="s">
        <v>698</v>
      </c>
      <c r="C17" s="379">
        <f>IFERROR(VLOOKUP(A17,[4]FORMULACION!$A$10:$C$110,3,0),0)</f>
        <v>800000</v>
      </c>
      <c r="D17" s="379">
        <v>0</v>
      </c>
      <c r="E17" s="448"/>
    </row>
    <row r="18" spans="1:5" x14ac:dyDescent="0.2">
      <c r="A18" s="377" t="s">
        <v>241</v>
      </c>
      <c r="B18" s="378" t="s">
        <v>240</v>
      </c>
      <c r="C18" s="379">
        <f>IFERROR(VLOOKUP(A18,[4]FORMULACION!$A$10:$C$110,3,0),0)</f>
        <v>12000000</v>
      </c>
      <c r="D18" s="379">
        <v>14000000</v>
      </c>
    </row>
    <row r="19" spans="1:5" x14ac:dyDescent="0.2">
      <c r="A19" s="377" t="s">
        <v>865</v>
      </c>
      <c r="B19" s="378" t="s">
        <v>866</v>
      </c>
      <c r="C19" s="379">
        <f>IFERROR(VLOOKUP(A19,[4]FORMULACION!$A$10:$C$110,3,0),0)</f>
        <v>12000000</v>
      </c>
      <c r="D19" s="379">
        <v>0</v>
      </c>
    </row>
    <row r="20" spans="1:5" x14ac:dyDescent="0.2">
      <c r="A20" s="377" t="s">
        <v>699</v>
      </c>
      <c r="B20" s="380" t="s">
        <v>700</v>
      </c>
      <c r="C20" s="379">
        <f>IFERROR(VLOOKUP(A20,[4]FORMULACION!$A$10:$C$110,3,0),0)</f>
        <v>10720000</v>
      </c>
      <c r="D20" s="379">
        <v>0</v>
      </c>
    </row>
    <row r="21" spans="1:5" x14ac:dyDescent="0.2">
      <c r="A21" s="377" t="s">
        <v>701</v>
      </c>
      <c r="B21" s="380" t="s">
        <v>702</v>
      </c>
      <c r="C21" s="379">
        <f>IFERROR(VLOOKUP(A21,[4]FORMULACION!$A$10:$C$110,3,0),0)</f>
        <v>10854000</v>
      </c>
      <c r="D21" s="379">
        <v>0</v>
      </c>
    </row>
    <row r="22" spans="1:5" x14ac:dyDescent="0.2">
      <c r="A22" s="377" t="s">
        <v>703</v>
      </c>
      <c r="B22" s="380" t="s">
        <v>704</v>
      </c>
      <c r="C22" s="379">
        <f>IFERROR(VLOOKUP(A22,[4]FORMULACION!$A$10:$C$110,3,0),0)</f>
        <v>1325900</v>
      </c>
      <c r="D22" s="379">
        <v>0</v>
      </c>
    </row>
    <row r="23" spans="1:5" ht="24" customHeight="1" x14ac:dyDescent="0.2">
      <c r="A23" s="455"/>
      <c r="B23" s="455" t="s">
        <v>705</v>
      </c>
      <c r="C23" s="456">
        <f>SUM(C12:C22)</f>
        <v>221113062</v>
      </c>
      <c r="D23" s="456">
        <v>14000000</v>
      </c>
    </row>
    <row r="24" spans="1:5" x14ac:dyDescent="0.2">
      <c r="A24" s="377" t="s">
        <v>706</v>
      </c>
      <c r="B24" s="378" t="s">
        <v>707</v>
      </c>
      <c r="C24" s="379">
        <f>IFERROR(VLOOKUP(A24,[4]FORMULACION!$A$10:$C$110,3,0),0)</f>
        <v>5000000</v>
      </c>
      <c r="D24" s="379">
        <v>0</v>
      </c>
    </row>
    <row r="25" spans="1:5" x14ac:dyDescent="0.2">
      <c r="A25" s="377" t="s">
        <v>708</v>
      </c>
      <c r="B25" s="378" t="s">
        <v>709</v>
      </c>
      <c r="C25" s="379">
        <f>IFERROR(VLOOKUP(A25,[4]FORMULACION!$A$10:$C$110,3,0),0)</f>
        <v>2200000</v>
      </c>
      <c r="D25" s="379">
        <v>0</v>
      </c>
    </row>
    <row r="26" spans="1:5" x14ac:dyDescent="0.2">
      <c r="A26" s="377" t="s">
        <v>710</v>
      </c>
      <c r="B26" s="378" t="s">
        <v>711</v>
      </c>
      <c r="C26" s="379">
        <f>IFERROR(VLOOKUP(A26,[4]FORMULACION!$A$10:$C$110,3,0),0)</f>
        <v>8500000</v>
      </c>
      <c r="D26" s="379">
        <v>0</v>
      </c>
    </row>
    <row r="27" spans="1:5" x14ac:dyDescent="0.2">
      <c r="A27" s="377" t="s">
        <v>712</v>
      </c>
      <c r="B27" s="378" t="s">
        <v>713</v>
      </c>
      <c r="C27" s="379">
        <f>IFERROR(VLOOKUP(A27,[4]FORMULACION!$A$10:$C$110,3,0),0)</f>
        <v>7230000</v>
      </c>
      <c r="D27" s="379">
        <v>0</v>
      </c>
    </row>
    <row r="28" spans="1:5" x14ac:dyDescent="0.2">
      <c r="A28" s="377" t="s">
        <v>714</v>
      </c>
      <c r="B28" s="378" t="s">
        <v>715</v>
      </c>
      <c r="C28" s="379">
        <f>IFERROR(VLOOKUP(A28,[4]FORMULACION!$A$10:$C$110,3,0),0)</f>
        <v>100000</v>
      </c>
      <c r="D28" s="379">
        <v>0</v>
      </c>
    </row>
    <row r="29" spans="1:5" x14ac:dyDescent="0.2">
      <c r="A29" s="377" t="s">
        <v>716</v>
      </c>
      <c r="B29" s="378" t="s">
        <v>717</v>
      </c>
      <c r="C29" s="379">
        <f>IFERROR(VLOOKUP(A29,[4]FORMULACION!$A$10:$C$110,3,0),0)</f>
        <v>50000</v>
      </c>
      <c r="D29" s="379">
        <v>0</v>
      </c>
    </row>
    <row r="30" spans="1:5" x14ac:dyDescent="0.2">
      <c r="A30" s="377" t="s">
        <v>127</v>
      </c>
      <c r="B30" s="378" t="s">
        <v>718</v>
      </c>
      <c r="C30" s="379">
        <f>IFERROR(VLOOKUP(A30,[4]FORMULACION!$A$10:$C$110,3,0),0)</f>
        <v>15000</v>
      </c>
      <c r="D30" s="379">
        <v>100000</v>
      </c>
    </row>
    <row r="31" spans="1:5" x14ac:dyDescent="0.2">
      <c r="A31" s="377" t="s">
        <v>254</v>
      </c>
      <c r="B31" s="378" t="s">
        <v>719</v>
      </c>
      <c r="C31" s="379">
        <f>IFERROR(VLOOKUP(A31,[4]FORMULACION!$A$10:$C$110,3,0),0)</f>
        <v>500000</v>
      </c>
      <c r="D31" s="379">
        <v>100900</v>
      </c>
    </row>
    <row r="32" spans="1:5" x14ac:dyDescent="0.2">
      <c r="A32" s="377" t="s">
        <v>69</v>
      </c>
      <c r="B32" s="378" t="s">
        <v>720</v>
      </c>
      <c r="C32" s="379">
        <f>IFERROR(VLOOKUP(A32,[4]FORMULACION!$A$10:$C$110,3,0),0)</f>
        <v>4000000</v>
      </c>
      <c r="D32" s="379">
        <v>3242600</v>
      </c>
    </row>
    <row r="33" spans="1:4" x14ac:dyDescent="0.2">
      <c r="A33" s="377" t="s">
        <v>721</v>
      </c>
      <c r="B33" s="378" t="s">
        <v>722</v>
      </c>
      <c r="C33" s="379">
        <f>IFERROR(VLOOKUP(A33,[4]FORMULACION!$A$10:$C$110,3,0),0)</f>
        <v>200000</v>
      </c>
      <c r="D33" s="379">
        <v>0</v>
      </c>
    </row>
    <row r="34" spans="1:4" x14ac:dyDescent="0.2">
      <c r="A34" s="377" t="s">
        <v>327</v>
      </c>
      <c r="B34" s="378" t="s">
        <v>723</v>
      </c>
      <c r="C34" s="379">
        <f>IFERROR(VLOOKUP(A34,[4]FORMULACION!$A$10:$C$110,3,0),0)</f>
        <v>2670000</v>
      </c>
      <c r="D34" s="379">
        <v>24600</v>
      </c>
    </row>
    <row r="35" spans="1:4" x14ac:dyDescent="0.2">
      <c r="A35" s="377" t="s">
        <v>724</v>
      </c>
      <c r="B35" s="378" t="s">
        <v>725</v>
      </c>
      <c r="C35" s="379">
        <f>IFERROR(VLOOKUP(A35,[4]FORMULACION!$A$10:$C$110,3,0),0)</f>
        <v>30000</v>
      </c>
      <c r="D35" s="379">
        <v>0</v>
      </c>
    </row>
    <row r="36" spans="1:4" x14ac:dyDescent="0.2">
      <c r="A36" s="377" t="s">
        <v>726</v>
      </c>
      <c r="B36" s="378" t="s">
        <v>727</v>
      </c>
      <c r="C36" s="379">
        <f>IFERROR(VLOOKUP(A36,[4]FORMULACION!$A$10:$C$110,3,0),0)</f>
        <v>10000</v>
      </c>
      <c r="D36" s="379">
        <v>0</v>
      </c>
    </row>
    <row r="37" spans="1:4" x14ac:dyDescent="0.2">
      <c r="A37" s="377" t="s">
        <v>728</v>
      </c>
      <c r="B37" s="378" t="s">
        <v>729</v>
      </c>
      <c r="C37" s="379">
        <f>IFERROR(VLOOKUP(A37,[4]FORMULACION!$A$10:$C$110,3,0),0)</f>
        <v>10000</v>
      </c>
      <c r="D37" s="379">
        <v>0</v>
      </c>
    </row>
    <row r="38" spans="1:4" x14ac:dyDescent="0.2">
      <c r="A38" s="377" t="s">
        <v>730</v>
      </c>
      <c r="B38" s="378" t="s">
        <v>731</v>
      </c>
      <c r="C38" s="379">
        <f>IFERROR(VLOOKUP(A38,[4]FORMULACION!$A$10:$C$110,3,0),0)</f>
        <v>19279000</v>
      </c>
      <c r="D38" s="379">
        <v>0</v>
      </c>
    </row>
    <row r="39" spans="1:4" x14ac:dyDescent="0.2">
      <c r="A39" s="377" t="s">
        <v>732</v>
      </c>
      <c r="B39" s="378" t="s">
        <v>733</v>
      </c>
      <c r="C39" s="379">
        <f>IFERROR(VLOOKUP(A39,[4]FORMULACION!$A$10:$C$110,3,0),0)</f>
        <v>100000</v>
      </c>
      <c r="D39" s="379">
        <v>0</v>
      </c>
    </row>
    <row r="40" spans="1:4" x14ac:dyDescent="0.2">
      <c r="A40" s="377" t="s">
        <v>867</v>
      </c>
      <c r="B40" s="378" t="s">
        <v>868</v>
      </c>
      <c r="C40" s="379">
        <f>IFERROR(VLOOKUP(A40,[4]FORMULACION!$A$10:$C$110,3,0),0)</f>
        <v>1200000</v>
      </c>
      <c r="D40" s="379">
        <v>0</v>
      </c>
    </row>
    <row r="41" spans="1:4" x14ac:dyDescent="0.2">
      <c r="A41" s="377" t="s">
        <v>734</v>
      </c>
      <c r="B41" s="378" t="s">
        <v>735</v>
      </c>
      <c r="C41" s="379">
        <f>IFERROR(VLOOKUP(A41,[4]FORMULACION!$A$10:$C$110,3,0),0)</f>
        <v>50000</v>
      </c>
      <c r="D41" s="379">
        <v>0</v>
      </c>
    </row>
    <row r="42" spans="1:4" x14ac:dyDescent="0.2">
      <c r="A42" s="377" t="s">
        <v>736</v>
      </c>
      <c r="B42" s="378" t="s">
        <v>737</v>
      </c>
      <c r="C42" s="379">
        <f>IFERROR(VLOOKUP(A42,[4]FORMULACION!$A$10:$C$110,3,0),0)</f>
        <v>500000</v>
      </c>
      <c r="D42" s="379">
        <v>0</v>
      </c>
    </row>
    <row r="43" spans="1:4" x14ac:dyDescent="0.2">
      <c r="A43" s="377" t="s">
        <v>879</v>
      </c>
      <c r="B43" s="378" t="s">
        <v>884</v>
      </c>
      <c r="C43" s="379">
        <f>IFERROR(VLOOKUP(A43,[4]FORMULACION!$A$10:$C$110,3,0),0)</f>
        <v>0</v>
      </c>
      <c r="D43" s="379">
        <v>0</v>
      </c>
    </row>
    <row r="44" spans="1:4" x14ac:dyDescent="0.2">
      <c r="A44" s="377" t="s">
        <v>390</v>
      </c>
      <c r="B44" s="378" t="s">
        <v>738</v>
      </c>
      <c r="C44" s="379">
        <f>IFERROR(VLOOKUP(A44,[4]FORMULACION!$A$10:$C$110,3,0),0)</f>
        <v>1500000</v>
      </c>
      <c r="D44" s="379">
        <v>2430820</v>
      </c>
    </row>
    <row r="45" spans="1:4" x14ac:dyDescent="0.2">
      <c r="A45" s="377" t="s">
        <v>739</v>
      </c>
      <c r="B45" s="378" t="s">
        <v>740</v>
      </c>
      <c r="C45" s="379">
        <f>IFERROR(VLOOKUP(A45,[4]FORMULACION!$A$10:$C$110,3,0),0)</f>
        <v>200000</v>
      </c>
      <c r="D45" s="379">
        <v>0</v>
      </c>
    </row>
    <row r="46" spans="1:4" x14ac:dyDescent="0.2">
      <c r="A46" s="377" t="s">
        <v>741</v>
      </c>
      <c r="B46" s="378" t="s">
        <v>742</v>
      </c>
      <c r="C46" s="379">
        <f>IFERROR(VLOOKUP(A46,[4]FORMULACION!$A$10:$C$110,3,0),0)</f>
        <v>800000</v>
      </c>
      <c r="D46" s="379">
        <v>0</v>
      </c>
    </row>
    <row r="47" spans="1:4" x14ac:dyDescent="0.2">
      <c r="A47" s="377" t="s">
        <v>277</v>
      </c>
      <c r="B47" s="378" t="s">
        <v>743</v>
      </c>
      <c r="C47" s="379">
        <f>IFERROR(VLOOKUP(A47,[4]FORMULACION!$A$10:$C$110,3,0),0)</f>
        <v>12300000</v>
      </c>
      <c r="D47" s="379">
        <v>12288000</v>
      </c>
    </row>
    <row r="48" spans="1:4" x14ac:dyDescent="0.2">
      <c r="A48" s="377" t="s">
        <v>744</v>
      </c>
      <c r="B48" s="378" t="s">
        <v>745</v>
      </c>
      <c r="C48" s="379">
        <f>IFERROR(VLOOKUP(A48,[4]FORMULACION!$A$10:$C$110,3,0),0)</f>
        <v>400000</v>
      </c>
      <c r="D48" s="379">
        <v>0</v>
      </c>
    </row>
    <row r="49" spans="1:4" x14ac:dyDescent="0.2">
      <c r="A49" s="377" t="s">
        <v>151</v>
      </c>
      <c r="B49" s="378" t="s">
        <v>746</v>
      </c>
      <c r="C49" s="379">
        <f>IFERROR(VLOOKUP(A49,[4]FORMULACION!$A$10:$C$110,3,0),0)</f>
        <v>500000</v>
      </c>
      <c r="D49" s="379">
        <v>2377400</v>
      </c>
    </row>
    <row r="50" spans="1:4" x14ac:dyDescent="0.2">
      <c r="A50" s="377" t="s">
        <v>94</v>
      </c>
      <c r="B50" s="378" t="s">
        <v>747</v>
      </c>
      <c r="C50" s="379">
        <f>IFERROR(VLOOKUP(A50,[4]FORMULACION!$A$10:$C$110,3,0),0)</f>
        <v>2500000</v>
      </c>
      <c r="D50" s="379">
        <v>760000</v>
      </c>
    </row>
    <row r="51" spans="1:4" x14ac:dyDescent="0.2">
      <c r="A51" s="377" t="s">
        <v>748</v>
      </c>
      <c r="B51" s="378" t="s">
        <v>749</v>
      </c>
      <c r="C51" s="379">
        <f>IFERROR(VLOOKUP(A51,[4]FORMULACION!$A$10:$C$110,3,0),0)</f>
        <v>200000</v>
      </c>
      <c r="D51" s="379">
        <v>0</v>
      </c>
    </row>
    <row r="52" spans="1:4" x14ac:dyDescent="0.2">
      <c r="A52" s="377" t="s">
        <v>891</v>
      </c>
      <c r="B52" s="378" t="s">
        <v>892</v>
      </c>
      <c r="C52" s="379">
        <f>IFERROR(VLOOKUP(A52,[4]FORMULACION!$A$10:$C$110,3,0),0)</f>
        <v>0</v>
      </c>
      <c r="D52" s="379">
        <v>70000</v>
      </c>
    </row>
    <row r="53" spans="1:4" x14ac:dyDescent="0.2">
      <c r="A53" s="377" t="s">
        <v>155</v>
      </c>
      <c r="B53" s="378" t="s">
        <v>750</v>
      </c>
      <c r="C53" s="379">
        <f>IFERROR(VLOOKUP(A53,[4]FORMULACION!$A$10:$C$110,3,0),0)</f>
        <v>1300000</v>
      </c>
      <c r="D53" s="379">
        <v>531400</v>
      </c>
    </row>
    <row r="54" spans="1:4" x14ac:dyDescent="0.2">
      <c r="A54" s="377" t="s">
        <v>751</v>
      </c>
      <c r="B54" s="378" t="s">
        <v>752</v>
      </c>
      <c r="C54" s="379">
        <f>IFERROR(VLOOKUP(A54,[4]FORMULACION!$A$10:$C$110,3,0),0)</f>
        <v>200000</v>
      </c>
      <c r="D54" s="379">
        <v>0</v>
      </c>
    </row>
    <row r="55" spans="1:4" x14ac:dyDescent="0.2">
      <c r="A55" s="377" t="s">
        <v>141</v>
      </c>
      <c r="B55" s="378" t="s">
        <v>753</v>
      </c>
      <c r="C55" s="379">
        <f>IFERROR(VLOOKUP(A55,[4]FORMULACION!$A$10:$C$110,3,0),0)</f>
        <v>250000</v>
      </c>
      <c r="D55" s="379">
        <v>330000</v>
      </c>
    </row>
    <row r="56" spans="1:4" x14ac:dyDescent="0.2">
      <c r="A56" s="377" t="s">
        <v>134</v>
      </c>
      <c r="B56" s="378" t="s">
        <v>754</v>
      </c>
      <c r="C56" s="379">
        <f>IFERROR(VLOOKUP(A56,[4]FORMULACION!$A$10:$C$110,3,0),0)</f>
        <v>250000</v>
      </c>
      <c r="D56" s="379">
        <v>225000</v>
      </c>
    </row>
    <row r="57" spans="1:4" x14ac:dyDescent="0.2">
      <c r="A57" s="377" t="s">
        <v>755</v>
      </c>
      <c r="B57" s="378" t="s">
        <v>756</v>
      </c>
      <c r="C57" s="379">
        <f>IFERROR(VLOOKUP(A57,[4]FORMULACION!$A$10:$C$110,3,0),0)</f>
        <v>300000</v>
      </c>
      <c r="D57" s="379">
        <v>0</v>
      </c>
    </row>
    <row r="58" spans="1:4" x14ac:dyDescent="0.2">
      <c r="A58" s="377" t="s">
        <v>757</v>
      </c>
      <c r="B58" s="378" t="s">
        <v>758</v>
      </c>
      <c r="C58" s="379">
        <f>IFERROR(VLOOKUP(A58,[4]FORMULACION!$A$10:$C$110,3,0),0)</f>
        <v>47000</v>
      </c>
      <c r="D58" s="379">
        <v>165000</v>
      </c>
    </row>
    <row r="59" spans="1:4" x14ac:dyDescent="0.2">
      <c r="A59" s="377" t="s">
        <v>759</v>
      </c>
      <c r="B59" s="378" t="s">
        <v>760</v>
      </c>
      <c r="C59" s="379">
        <f>IFERROR(VLOOKUP(A59,[4]FORMULACION!$A$10:$C$110,3,0),0)</f>
        <v>300000</v>
      </c>
      <c r="D59" s="379">
        <v>0</v>
      </c>
    </row>
    <row r="60" spans="1:4" x14ac:dyDescent="0.2">
      <c r="A60" s="377" t="s">
        <v>761</v>
      </c>
      <c r="B60" s="378" t="s">
        <v>762</v>
      </c>
      <c r="C60" s="379">
        <f>IFERROR(VLOOKUP(A60,[4]FORMULACION!$A$10:$C$110,3,0),0)</f>
        <v>0</v>
      </c>
      <c r="D60" s="379">
        <v>0</v>
      </c>
    </row>
    <row r="61" spans="1:4" x14ac:dyDescent="0.2">
      <c r="A61" s="377" t="s">
        <v>234</v>
      </c>
      <c r="B61" s="378" t="s">
        <v>763</v>
      </c>
      <c r="C61" s="379">
        <f>IFERROR(VLOOKUP(A61,[4]FORMULACION!$A$10:$C$110,3,0),0)</f>
        <v>600000</v>
      </c>
      <c r="D61" s="379">
        <v>1541721.0033333334</v>
      </c>
    </row>
    <row r="62" spans="1:4" x14ac:dyDescent="0.2">
      <c r="A62" s="377" t="s">
        <v>880</v>
      </c>
      <c r="B62" s="378" t="s">
        <v>888</v>
      </c>
      <c r="C62" s="379">
        <f>IFERROR(VLOOKUP(A62,[4]FORMULACION!$A$10:$C$110,3,0),0)</f>
        <v>0</v>
      </c>
      <c r="D62" s="379">
        <v>0</v>
      </c>
    </row>
    <row r="63" spans="1:4" x14ac:dyDescent="0.2">
      <c r="A63" s="377" t="s">
        <v>55</v>
      </c>
      <c r="B63" s="378" t="s">
        <v>764</v>
      </c>
      <c r="C63" s="379">
        <f>IFERROR(VLOOKUP(A63,[4]FORMULACION!$A$10:$C$110,3,0),0)</f>
        <v>550000</v>
      </c>
      <c r="D63" s="379">
        <v>6585739</v>
      </c>
    </row>
    <row r="64" spans="1:4" x14ac:dyDescent="0.2">
      <c r="A64" s="377" t="s">
        <v>765</v>
      </c>
      <c r="B64" s="378" t="s">
        <v>766</v>
      </c>
      <c r="C64" s="379">
        <f>IFERROR(VLOOKUP(A64,[4]FORMULACION!$A$10:$C$110,3,0),0)</f>
        <v>50000</v>
      </c>
      <c r="D64" s="379">
        <v>0</v>
      </c>
    </row>
    <row r="65" spans="1:4" x14ac:dyDescent="0.2">
      <c r="A65" s="377" t="s">
        <v>767</v>
      </c>
      <c r="B65" s="378" t="s">
        <v>768</v>
      </c>
      <c r="C65" s="379">
        <f>IFERROR(VLOOKUP(A65,[4]FORMULACION!$A$10:$C$110,3,0),0)</f>
        <v>25000</v>
      </c>
      <c r="D65" s="379">
        <v>0</v>
      </c>
    </row>
    <row r="66" spans="1:4" x14ac:dyDescent="0.2">
      <c r="A66" s="377" t="s">
        <v>769</v>
      </c>
      <c r="B66" s="378" t="s">
        <v>770</v>
      </c>
      <c r="C66" s="379">
        <f>IFERROR(VLOOKUP(A66,[4]FORMULACION!$A$10:$C$110,3,0),0)</f>
        <v>25000</v>
      </c>
      <c r="D66" s="379">
        <v>0</v>
      </c>
    </row>
    <row r="67" spans="1:4" x14ac:dyDescent="0.2">
      <c r="A67" s="377" t="s">
        <v>169</v>
      </c>
      <c r="B67" s="378" t="s">
        <v>771</v>
      </c>
      <c r="C67" s="379">
        <f>IFERROR(VLOOKUP(A67,[4]FORMULACION!$A$10:$C$110,3,0),0)</f>
        <v>500000</v>
      </c>
      <c r="D67" s="379">
        <v>500000</v>
      </c>
    </row>
    <row r="68" spans="1:4" x14ac:dyDescent="0.2">
      <c r="A68" s="377" t="s">
        <v>238</v>
      </c>
      <c r="B68" s="378" t="s">
        <v>772</v>
      </c>
      <c r="C68" s="379">
        <f>IFERROR(VLOOKUP(A68,[4]FORMULACION!$A$10:$C$110,3,0),0)</f>
        <v>2300000</v>
      </c>
      <c r="D68" s="379">
        <v>4191449</v>
      </c>
    </row>
    <row r="69" spans="1:4" x14ac:dyDescent="0.2">
      <c r="A69" s="377" t="s">
        <v>869</v>
      </c>
      <c r="B69" s="378" t="s">
        <v>870</v>
      </c>
      <c r="C69" s="379">
        <f>IFERROR(VLOOKUP(A69,[4]FORMULACION!$A$10:$C$110,3,0),0)</f>
        <v>100000</v>
      </c>
      <c r="D69" s="379">
        <v>0</v>
      </c>
    </row>
    <row r="70" spans="1:4" x14ac:dyDescent="0.2">
      <c r="A70" s="452" t="s">
        <v>136</v>
      </c>
      <c r="B70" s="453"/>
      <c r="C70" s="454">
        <f>IFERROR(VLOOKUP(A70,[4]FORMULACION!$A$10:$C$110,3,0),0)</f>
        <v>0</v>
      </c>
      <c r="D70" s="379">
        <v>156000</v>
      </c>
    </row>
    <row r="71" spans="1:4" x14ac:dyDescent="0.2">
      <c r="A71" s="455"/>
      <c r="B71" s="455" t="s">
        <v>705</v>
      </c>
      <c r="C71" s="456">
        <f>SUM(C24:C70)</f>
        <v>76841000</v>
      </c>
      <c r="D71" s="456">
        <v>35620629.00333333</v>
      </c>
    </row>
    <row r="72" spans="1:4" x14ac:dyDescent="0.2">
      <c r="A72" s="377" t="s">
        <v>179</v>
      </c>
      <c r="B72" s="378" t="s">
        <v>773</v>
      </c>
      <c r="C72" s="379">
        <f>IFERROR(VLOOKUP(A72,[4]FORMULACION!$A$10:$C$110,3,0),0)</f>
        <v>460000</v>
      </c>
      <c r="D72" s="379">
        <v>502960</v>
      </c>
    </row>
    <row r="73" spans="1:4" x14ac:dyDescent="0.2">
      <c r="A73" s="377" t="s">
        <v>252</v>
      </c>
      <c r="B73" s="378" t="s">
        <v>774</v>
      </c>
      <c r="C73" s="379">
        <f>IFERROR(VLOOKUP(A73,[4]FORMULACION!$A$10:$C$110,3,0),0)</f>
        <v>205000</v>
      </c>
      <c r="D73" s="379">
        <v>600000</v>
      </c>
    </row>
    <row r="74" spans="1:4" x14ac:dyDescent="0.2">
      <c r="A74" s="377" t="s">
        <v>180</v>
      </c>
      <c r="B74" s="378" t="s">
        <v>775</v>
      </c>
      <c r="C74" s="379">
        <f>IFERROR(VLOOKUP(A74,[4]FORMULACION!$A$10:$C$110,3,0),0)</f>
        <v>348000</v>
      </c>
      <c r="D74" s="379">
        <v>207500</v>
      </c>
    </row>
    <row r="75" spans="1:4" x14ac:dyDescent="0.2">
      <c r="A75" s="377" t="s">
        <v>776</v>
      </c>
      <c r="B75" s="378" t="s">
        <v>777</v>
      </c>
      <c r="C75" s="379">
        <f>IFERROR(VLOOKUP(A75,[4]FORMULACION!$A$10:$C$110,3,0),0)</f>
        <v>100000</v>
      </c>
      <c r="D75" s="379">
        <v>0</v>
      </c>
    </row>
    <row r="76" spans="1:4" x14ac:dyDescent="0.2">
      <c r="A76" s="377" t="s">
        <v>778</v>
      </c>
      <c r="B76" s="378" t="s">
        <v>779</v>
      </c>
      <c r="C76" s="379">
        <f>IFERROR(VLOOKUP(A76,[4]FORMULACION!$A$10:$C$110,3,0),0)</f>
        <v>200000</v>
      </c>
      <c r="D76" s="379">
        <v>9900</v>
      </c>
    </row>
    <row r="77" spans="1:4" x14ac:dyDescent="0.2">
      <c r="A77" s="377" t="s">
        <v>780</v>
      </c>
      <c r="B77" s="378" t="s">
        <v>781</v>
      </c>
      <c r="C77" s="379">
        <f>IFERROR(VLOOKUP(A77,[4]FORMULACION!$A$10:$C$110,3,0),0)</f>
        <v>325000</v>
      </c>
      <c r="D77" s="379">
        <v>40000</v>
      </c>
    </row>
    <row r="78" spans="1:4" x14ac:dyDescent="0.2">
      <c r="A78" s="377" t="s">
        <v>782</v>
      </c>
      <c r="B78" s="378" t="s">
        <v>783</v>
      </c>
      <c r="C78" s="379">
        <f>IFERROR(VLOOKUP(A78,[4]FORMULACION!$A$10:$C$110,3,0),0)</f>
        <v>50000</v>
      </c>
      <c r="D78" s="379">
        <v>0</v>
      </c>
    </row>
    <row r="79" spans="1:4" x14ac:dyDescent="0.2">
      <c r="A79" s="377" t="s">
        <v>784</v>
      </c>
      <c r="B79" s="378" t="s">
        <v>785</v>
      </c>
      <c r="C79" s="379">
        <f>IFERROR(VLOOKUP(A79,[4]FORMULACION!$A$10:$C$110,3,0),0)</f>
        <v>50000</v>
      </c>
      <c r="D79" s="379">
        <v>0</v>
      </c>
    </row>
    <row r="80" spans="1:4" x14ac:dyDescent="0.2">
      <c r="A80" s="377" t="s">
        <v>786</v>
      </c>
      <c r="B80" s="378" t="s">
        <v>787</v>
      </c>
      <c r="C80" s="379">
        <f>IFERROR(VLOOKUP(A80,[4]FORMULACION!$A$10:$C$110,3,0),0)</f>
        <v>50000</v>
      </c>
      <c r="D80" s="379">
        <v>0</v>
      </c>
    </row>
    <row r="81" spans="1:4" x14ac:dyDescent="0.2">
      <c r="A81" s="377" t="s">
        <v>788</v>
      </c>
      <c r="B81" s="378" t="s">
        <v>789</v>
      </c>
      <c r="C81" s="379">
        <f>IFERROR(VLOOKUP(A81,[4]FORMULACION!$A$10:$C$110,3,0),0)</f>
        <v>10000</v>
      </c>
      <c r="D81" s="379">
        <v>0</v>
      </c>
    </row>
    <row r="82" spans="1:4" x14ac:dyDescent="0.2">
      <c r="A82" s="377" t="s">
        <v>790</v>
      </c>
      <c r="B82" s="378" t="s">
        <v>791</v>
      </c>
      <c r="C82" s="379">
        <f>IFERROR(VLOOKUP(A82,[4]FORMULACION!$A$10:$C$110,3,0),0)</f>
        <v>50000</v>
      </c>
      <c r="D82" s="379">
        <v>0</v>
      </c>
    </row>
    <row r="83" spans="1:4" x14ac:dyDescent="0.2">
      <c r="A83" s="377" t="s">
        <v>792</v>
      </c>
      <c r="B83" s="378" t="s">
        <v>793</v>
      </c>
      <c r="C83" s="379">
        <f>IFERROR(VLOOKUP(A83,[4]FORMULACION!$A$10:$C$110,3,0),0)</f>
        <v>50000</v>
      </c>
      <c r="D83" s="379">
        <v>0</v>
      </c>
    </row>
    <row r="84" spans="1:4" x14ac:dyDescent="0.2">
      <c r="A84" s="377" t="s">
        <v>794</v>
      </c>
      <c r="B84" s="378" t="s">
        <v>795</v>
      </c>
      <c r="C84" s="379">
        <f>IFERROR(VLOOKUP(A84,[4]FORMULACION!$A$10:$C$110,3,0),0)</f>
        <v>500000</v>
      </c>
      <c r="D84" s="379">
        <v>0</v>
      </c>
    </row>
    <row r="85" spans="1:4" x14ac:dyDescent="0.2">
      <c r="A85" s="377" t="s">
        <v>796</v>
      </c>
      <c r="B85" s="378" t="s">
        <v>797</v>
      </c>
      <c r="C85" s="379">
        <f>IFERROR(VLOOKUP(A85,[4]FORMULACION!$A$10:$C$110,3,0),0)</f>
        <v>50000</v>
      </c>
      <c r="D85" s="379">
        <v>0</v>
      </c>
    </row>
    <row r="86" spans="1:4" x14ac:dyDescent="0.2">
      <c r="A86" s="377" t="s">
        <v>274</v>
      </c>
      <c r="B86" s="378" t="s">
        <v>798</v>
      </c>
      <c r="C86" s="379">
        <f>IFERROR(VLOOKUP(A86,[4]FORMULACION!$A$10:$C$110,3,0),0)</f>
        <v>50000</v>
      </c>
      <c r="D86" s="379">
        <v>10000</v>
      </c>
    </row>
    <row r="87" spans="1:4" x14ac:dyDescent="0.2">
      <c r="A87" s="377" t="s">
        <v>799</v>
      </c>
      <c r="B87" s="378" t="s">
        <v>800</v>
      </c>
      <c r="C87" s="379">
        <f>IFERROR(VLOOKUP(A87,[4]FORMULACION!$A$10:$C$110,3,0),0)</f>
        <v>25000</v>
      </c>
      <c r="D87" s="379">
        <v>0</v>
      </c>
    </row>
    <row r="88" spans="1:4" x14ac:dyDescent="0.2">
      <c r="A88" s="377" t="s">
        <v>801</v>
      </c>
      <c r="B88" s="378" t="s">
        <v>802</v>
      </c>
      <c r="C88" s="379">
        <f>IFERROR(VLOOKUP(A88,[4]FORMULACION!$A$10:$C$110,3,0),0)</f>
        <v>5000</v>
      </c>
      <c r="D88" s="379">
        <v>0</v>
      </c>
    </row>
    <row r="89" spans="1:4" x14ac:dyDescent="0.2">
      <c r="A89" s="377" t="s">
        <v>803</v>
      </c>
      <c r="B89" s="378" t="s">
        <v>804</v>
      </c>
      <c r="C89" s="379">
        <f>IFERROR(VLOOKUP(A89,[4]FORMULACION!$A$10:$C$110,3,0),0)</f>
        <v>5000</v>
      </c>
      <c r="D89" s="379">
        <v>0</v>
      </c>
    </row>
    <row r="90" spans="1:4" x14ac:dyDescent="0.2">
      <c r="A90" s="377" t="s">
        <v>805</v>
      </c>
      <c r="B90" s="378" t="s">
        <v>806</v>
      </c>
      <c r="C90" s="379">
        <f>IFERROR(VLOOKUP(A90,[4]FORMULACION!$A$10:$C$110,3,0),0)</f>
        <v>5000</v>
      </c>
      <c r="D90" s="379">
        <v>0</v>
      </c>
    </row>
    <row r="91" spans="1:4" x14ac:dyDescent="0.2">
      <c r="A91" s="377" t="s">
        <v>139</v>
      </c>
      <c r="B91" s="378" t="s">
        <v>807</v>
      </c>
      <c r="C91" s="379">
        <f>IFERROR(VLOOKUP(A91,[4]FORMULACION!$A$10:$C$110,3,0),0)</f>
        <v>4678</v>
      </c>
      <c r="D91" s="379">
        <v>0</v>
      </c>
    </row>
    <row r="92" spans="1:4" x14ac:dyDescent="0.2">
      <c r="A92" s="377" t="s">
        <v>808</v>
      </c>
      <c r="B92" s="378" t="s">
        <v>809</v>
      </c>
      <c r="C92" s="379">
        <f>IFERROR(VLOOKUP(A92,[4]FORMULACION!$A$10:$C$110,3,0),0)</f>
        <v>10000</v>
      </c>
      <c r="D92" s="379">
        <v>0</v>
      </c>
    </row>
    <row r="93" spans="1:4" x14ac:dyDescent="0.2">
      <c r="A93" s="377" t="s">
        <v>810</v>
      </c>
      <c r="B93" s="378" t="s">
        <v>811</v>
      </c>
      <c r="C93" s="379">
        <f>IFERROR(VLOOKUP(A93,[4]FORMULACION!$A$10:$C$110,3,0),0)</f>
        <v>15000</v>
      </c>
      <c r="D93" s="379">
        <v>0</v>
      </c>
    </row>
    <row r="94" spans="1:4" x14ac:dyDescent="0.2">
      <c r="A94" s="377" t="s">
        <v>812</v>
      </c>
      <c r="B94" s="378" t="s">
        <v>813</v>
      </c>
      <c r="C94" s="379">
        <f>IFERROR(VLOOKUP(A94,[4]FORMULACION!$A$10:$C$110,3,0),0)</f>
        <v>50000</v>
      </c>
      <c r="D94" s="379">
        <v>0</v>
      </c>
    </row>
    <row r="95" spans="1:4" x14ac:dyDescent="0.2">
      <c r="A95" s="377" t="s">
        <v>176</v>
      </c>
      <c r="B95" s="378" t="s">
        <v>814</v>
      </c>
      <c r="C95" s="379">
        <f>IFERROR(VLOOKUP(A95,[4]FORMULACION!$A$10:$C$110,3,0),0)</f>
        <v>10000000</v>
      </c>
      <c r="D95" s="379">
        <v>12000000</v>
      </c>
    </row>
    <row r="96" spans="1:4" x14ac:dyDescent="0.2">
      <c r="A96" s="377" t="s">
        <v>815</v>
      </c>
      <c r="B96" s="378" t="s">
        <v>816</v>
      </c>
      <c r="C96" s="379">
        <f>IFERROR(VLOOKUP(A96,[4]FORMULACION!$A$10:$C$110,3,0),0)</f>
        <v>1500000</v>
      </c>
      <c r="D96" s="379">
        <v>0</v>
      </c>
    </row>
    <row r="97" spans="1:4" x14ac:dyDescent="0.2">
      <c r="A97" s="377" t="s">
        <v>887</v>
      </c>
      <c r="B97" s="2" t="s">
        <v>889</v>
      </c>
      <c r="C97" s="379">
        <f>IFERROR(VLOOKUP(A97,[4]FORMULACION!$A$10:$C$110,3,0),0)</f>
        <v>0</v>
      </c>
      <c r="D97" s="379">
        <v>36000</v>
      </c>
    </row>
    <row r="98" spans="1:4" x14ac:dyDescent="0.2">
      <c r="A98" s="377" t="s">
        <v>173</v>
      </c>
      <c r="B98" s="378" t="s">
        <v>817</v>
      </c>
      <c r="C98" s="379">
        <f>IFERROR(VLOOKUP(A98,[4]FORMULACION!$A$10:$C$110,3,0),0)</f>
        <v>350000</v>
      </c>
      <c r="D98" s="379">
        <v>478650</v>
      </c>
    </row>
    <row r="99" spans="1:4" x14ac:dyDescent="0.2">
      <c r="A99" s="377" t="s">
        <v>52</v>
      </c>
      <c r="B99" s="378" t="s">
        <v>818</v>
      </c>
      <c r="C99" s="379">
        <f>IFERROR(VLOOKUP(A99,[4]FORMULACION!$A$10:$C$110,3,0),0)</f>
        <v>500000</v>
      </c>
      <c r="D99" s="379">
        <v>558000</v>
      </c>
    </row>
    <row r="100" spans="1:4" x14ac:dyDescent="0.2">
      <c r="A100" s="377" t="s">
        <v>819</v>
      </c>
      <c r="B100" s="378" t="s">
        <v>820</v>
      </c>
      <c r="C100" s="379">
        <f>IFERROR(VLOOKUP(A100,[4]FORMULACION!$A$10:$C$110,3,0),0)</f>
        <v>50000</v>
      </c>
      <c r="D100" s="379">
        <v>0</v>
      </c>
    </row>
    <row r="101" spans="1:4" x14ac:dyDescent="0.2">
      <c r="A101" s="377" t="s">
        <v>821</v>
      </c>
      <c r="B101" s="378" t="s">
        <v>822</v>
      </c>
      <c r="C101" s="379">
        <f>IFERROR(VLOOKUP(A101,[4]FORMULACION!$A$10:$C$110,3,0),0)</f>
        <v>0</v>
      </c>
      <c r="D101" s="379">
        <v>0</v>
      </c>
    </row>
    <row r="102" spans="1:4" x14ac:dyDescent="0.2">
      <c r="A102" s="377" t="s">
        <v>175</v>
      </c>
      <c r="B102" s="378" t="s">
        <v>823</v>
      </c>
      <c r="C102" s="379">
        <f>IFERROR(VLOOKUP(A102,[4]FORMULACION!$A$10:$C$110,3,0),0)</f>
        <v>200000</v>
      </c>
      <c r="D102" s="379">
        <v>86675</v>
      </c>
    </row>
    <row r="103" spans="1:4" x14ac:dyDescent="0.2">
      <c r="A103" s="377" t="s">
        <v>165</v>
      </c>
      <c r="B103" s="378" t="s">
        <v>824</v>
      </c>
      <c r="C103" s="379">
        <f>IFERROR(VLOOKUP(A103,[4]FORMULACION!$A$10:$C$110,3,0),0)</f>
        <v>300000</v>
      </c>
      <c r="D103" s="379">
        <v>659180</v>
      </c>
    </row>
    <row r="104" spans="1:4" x14ac:dyDescent="0.2">
      <c r="A104" s="377" t="s">
        <v>143</v>
      </c>
      <c r="B104" s="378" t="s">
        <v>871</v>
      </c>
      <c r="C104" s="379">
        <f>IFERROR(VLOOKUP(A104,[4]FORMULACION!$A$10:$C$110,3,0),0)</f>
        <v>500000</v>
      </c>
      <c r="D104" s="379">
        <v>1753450</v>
      </c>
    </row>
    <row r="105" spans="1:4" x14ac:dyDescent="0.2">
      <c r="A105" s="455"/>
      <c r="B105" s="455" t="s">
        <v>705</v>
      </c>
      <c r="C105" s="456">
        <f>SUM(C72:C104)</f>
        <v>16017678</v>
      </c>
      <c r="D105" s="456">
        <v>16942315</v>
      </c>
    </row>
    <row r="106" spans="1:4" x14ac:dyDescent="0.2">
      <c r="A106" s="377" t="s">
        <v>825</v>
      </c>
      <c r="B106" s="377" t="s">
        <v>826</v>
      </c>
      <c r="C106" s="379">
        <f>IFERROR(VLOOKUP(A106,[4]FORMULACION!$A$10:$C$110,3,0),0)</f>
        <v>50000</v>
      </c>
      <c r="D106" s="379">
        <v>0</v>
      </c>
    </row>
    <row r="107" spans="1:4" x14ac:dyDescent="0.2">
      <c r="A107" s="377" t="s">
        <v>827</v>
      </c>
      <c r="B107" s="377" t="s">
        <v>828</v>
      </c>
      <c r="C107" s="379">
        <f>IFERROR(VLOOKUP(A107,[4]FORMULACION!$A$10:$C$110,3,0),0)</f>
        <v>0</v>
      </c>
      <c r="D107" s="379">
        <v>0</v>
      </c>
    </row>
    <row r="108" spans="1:4" x14ac:dyDescent="0.2">
      <c r="A108" s="455"/>
      <c r="B108" s="455" t="s">
        <v>705</v>
      </c>
      <c r="C108" s="456">
        <f>SUM(C106:C107)</f>
        <v>50000</v>
      </c>
      <c r="D108" s="456">
        <v>0</v>
      </c>
    </row>
    <row r="109" spans="1:4" x14ac:dyDescent="0.2">
      <c r="A109" s="377" t="s">
        <v>147</v>
      </c>
      <c r="B109" s="378" t="s">
        <v>829</v>
      </c>
      <c r="C109" s="379">
        <f>IFERROR(VLOOKUP(A109,[4]FORMULACION!$A$10:$C$110,3,0),0)</f>
        <v>1000000</v>
      </c>
      <c r="D109" s="379">
        <v>1237930</v>
      </c>
    </row>
    <row r="110" spans="1:4" x14ac:dyDescent="0.2">
      <c r="A110" s="377" t="s">
        <v>110</v>
      </c>
      <c r="B110" s="378" t="s">
        <v>830</v>
      </c>
      <c r="C110" s="379">
        <f>IFERROR(VLOOKUP(A110,[4]FORMULACION!$A$10:$C$110,3,0),0)</f>
        <v>500000</v>
      </c>
      <c r="D110" s="379">
        <v>490000</v>
      </c>
    </row>
    <row r="111" spans="1:4" x14ac:dyDescent="0.2">
      <c r="A111" s="377" t="s">
        <v>162</v>
      </c>
      <c r="B111" s="378" t="s">
        <v>831</v>
      </c>
      <c r="C111" s="379">
        <f>IFERROR(VLOOKUP(A111,[4]FORMULACION!$A$10:$C$110,3,0),0)</f>
        <v>200000</v>
      </c>
      <c r="D111" s="379">
        <v>427800</v>
      </c>
    </row>
    <row r="112" spans="1:4" x14ac:dyDescent="0.2">
      <c r="A112" s="377" t="s">
        <v>832</v>
      </c>
      <c r="B112" s="378" t="s">
        <v>833</v>
      </c>
      <c r="C112" s="379">
        <f>IFERROR(VLOOKUP(A112,[4]FORMULACION!$A$10:$C$110,3,0),0)</f>
        <v>200000</v>
      </c>
      <c r="D112" s="379">
        <v>0</v>
      </c>
    </row>
    <row r="113" spans="1:4" x14ac:dyDescent="0.2">
      <c r="A113" s="377" t="s">
        <v>881</v>
      </c>
      <c r="B113" s="378" t="s">
        <v>890</v>
      </c>
      <c r="C113" s="379">
        <f>IFERROR(VLOOKUP(A113,[4]FORMULACION!$A$10:$C$110,3,0),0)</f>
        <v>0</v>
      </c>
      <c r="D113" s="379">
        <v>107900</v>
      </c>
    </row>
    <row r="114" spans="1:4" x14ac:dyDescent="0.2">
      <c r="A114" s="377" t="s">
        <v>872</v>
      </c>
      <c r="B114" s="378" t="s">
        <v>873</v>
      </c>
      <c r="C114" s="379">
        <f>IFERROR(VLOOKUP(A114,[4]FORMULACION!$A$10:$C$110,3,0),0)</f>
        <v>600000</v>
      </c>
      <c r="D114" s="379">
        <v>0</v>
      </c>
    </row>
    <row r="115" spans="1:4" x14ac:dyDescent="0.2">
      <c r="A115" s="377" t="s">
        <v>834</v>
      </c>
      <c r="B115" s="378" t="s">
        <v>835</v>
      </c>
      <c r="C115" s="379">
        <f>IFERROR(VLOOKUP(A115,[4]FORMULACION!$A$10:$C$110,3,0),0)</f>
        <v>100000</v>
      </c>
      <c r="D115" s="379">
        <v>0</v>
      </c>
    </row>
    <row r="116" spans="1:4" x14ac:dyDescent="0.2">
      <c r="A116" s="377" t="s">
        <v>874</v>
      </c>
      <c r="B116" s="378" t="s">
        <v>875</v>
      </c>
      <c r="C116" s="379">
        <f>IFERROR(VLOOKUP(A116,[4]FORMULACION!$A$10:$C$110,3,0),0)</f>
        <v>400000</v>
      </c>
      <c r="D116" s="379">
        <v>0</v>
      </c>
    </row>
    <row r="117" spans="1:4" x14ac:dyDescent="0.2">
      <c r="A117" s="455"/>
      <c r="B117" s="455" t="s">
        <v>705</v>
      </c>
      <c r="C117" s="456">
        <f>SUM(C109:C116)</f>
        <v>3000000</v>
      </c>
      <c r="D117" s="456">
        <v>2263630</v>
      </c>
    </row>
    <row r="118" spans="1:4" x14ac:dyDescent="0.2">
      <c r="A118" s="455"/>
      <c r="B118" s="455" t="s">
        <v>876</v>
      </c>
      <c r="C118" s="456">
        <f>+C23+C71+C105+C108+C117</f>
        <v>317021740</v>
      </c>
      <c r="D118" s="456">
        <v>68826574.00333333</v>
      </c>
    </row>
    <row r="120" spans="1:4" x14ac:dyDescent="0.2">
      <c r="D120" s="589"/>
    </row>
    <row r="121" spans="1:4" x14ac:dyDescent="0.2">
      <c r="D121" s="589"/>
    </row>
  </sheetData>
  <dataConsolidate leftLabels="1">
    <dataRefs count="1">
      <dataRef ref="H11:I204" sheet="Presupuesto D. por Cuenta"/>
    </dataRefs>
  </dataConsolidate>
  <mergeCells count="1">
    <mergeCell ref="A9:D10"/>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7B9A7-BC9A-49E9-B2F9-5F3DD0AFE4B6}">
  <sheetPr codeName="Sheet26"/>
  <dimension ref="A3:J16"/>
  <sheetViews>
    <sheetView workbookViewId="0"/>
  </sheetViews>
  <sheetFormatPr defaultColWidth="9.140625" defaultRowHeight="14.25" x14ac:dyDescent="0.2"/>
  <cols>
    <col min="1" max="1" width="31.42578125" style="2" bestFit="1" customWidth="1"/>
    <col min="2" max="2" width="19.42578125" style="2" bestFit="1" customWidth="1"/>
    <col min="3" max="3" width="18.7109375" style="2" customWidth="1"/>
    <col min="4" max="4" width="19.7109375" style="2" bestFit="1" customWidth="1"/>
    <col min="5" max="5" width="18.140625" style="2" bestFit="1" customWidth="1"/>
    <col min="6" max="6" width="17.140625" style="2" customWidth="1"/>
    <col min="7" max="7" width="19" style="2" customWidth="1"/>
    <col min="8" max="8" width="18.42578125" style="2" bestFit="1" customWidth="1"/>
    <col min="9" max="9" width="19" style="2" bestFit="1" customWidth="1"/>
    <col min="10" max="10" width="19.42578125" style="2" bestFit="1" customWidth="1"/>
    <col min="11" max="16384" width="9.140625" style="2"/>
  </cols>
  <sheetData>
    <row r="3" spans="1:10" x14ac:dyDescent="0.2">
      <c r="A3" s="1097" t="s">
        <v>836</v>
      </c>
      <c r="B3" s="1097"/>
      <c r="C3" s="1097"/>
      <c r="D3" s="1097"/>
      <c r="E3" s="1097"/>
      <c r="F3" s="1097"/>
      <c r="G3" s="1097"/>
    </row>
    <row r="4" spans="1:10" s="415" customFormat="1" ht="42.75" x14ac:dyDescent="0.25">
      <c r="A4" s="375" t="s">
        <v>837</v>
      </c>
      <c r="B4" s="376" t="s">
        <v>363</v>
      </c>
      <c r="C4" s="376" t="s">
        <v>864</v>
      </c>
      <c r="D4" s="376" t="s">
        <v>838</v>
      </c>
      <c r="E4" s="376" t="s">
        <v>839</v>
      </c>
      <c r="F4" s="376" t="s">
        <v>358</v>
      </c>
      <c r="G4" s="376" t="s">
        <v>840</v>
      </c>
      <c r="H4" s="376" t="s">
        <v>846</v>
      </c>
    </row>
    <row r="5" spans="1:10" x14ac:dyDescent="0.2">
      <c r="A5" s="381" t="s">
        <v>842</v>
      </c>
      <c r="B5" s="382" t="e" cm="1">
        <f t="array" ref="B5">SUMPRODUCT(IF(#REF!="Presupuesto Nacional",#REF!))</f>
        <v>#REF!</v>
      </c>
      <c r="C5" s="382" t="e" cm="1">
        <f t="array" ref="C5">SUMPRODUCT(IF(#REF!="Presupuesto Nacional POA Asignado",#REF!))</f>
        <v>#REF!</v>
      </c>
      <c r="D5" s="383"/>
      <c r="E5" s="383"/>
      <c r="F5" s="383"/>
      <c r="G5" s="383"/>
      <c r="H5" s="416" t="e">
        <f t="shared" ref="H5:H14" si="0">SUM(B5:G5)</f>
        <v>#REF!</v>
      </c>
      <c r="I5" s="416" t="e">
        <f>+#REF!</f>
        <v>#REF!</v>
      </c>
      <c r="J5" s="418" t="e">
        <f t="shared" ref="J5:J14" si="1">+H5-I5</f>
        <v>#REF!</v>
      </c>
    </row>
    <row r="6" spans="1:10" x14ac:dyDescent="0.2">
      <c r="A6" s="442" t="s">
        <v>841</v>
      </c>
      <c r="B6" s="443"/>
      <c r="C6" s="443">
        <f>SUM('Presupuesto  Análisis'!U21:U23)</f>
        <v>600000</v>
      </c>
      <c r="D6" s="443"/>
      <c r="E6" s="444"/>
      <c r="F6" s="444"/>
      <c r="G6" s="444"/>
      <c r="H6" s="445">
        <f t="shared" si="0"/>
        <v>600000</v>
      </c>
      <c r="I6" s="445">
        <f>+'Presupuesto  Análisis'!U24</f>
        <v>600000</v>
      </c>
      <c r="J6" s="446">
        <f t="shared" si="1"/>
        <v>0</v>
      </c>
    </row>
    <row r="7" spans="1:10" s="415" customFormat="1" ht="12.75" customHeight="1" x14ac:dyDescent="0.2">
      <c r="A7" s="425" t="s">
        <v>495</v>
      </c>
      <c r="B7" s="426" t="e">
        <f>SUM(#REF!,#REF!,#REF!)</f>
        <v>#REF!</v>
      </c>
      <c r="C7" s="426" t="e">
        <f>SUM(#REF!,#REF!)</f>
        <v>#REF!</v>
      </c>
      <c r="D7" s="427"/>
      <c r="E7" s="427"/>
      <c r="F7" s="427"/>
      <c r="G7" s="427"/>
      <c r="H7" s="417" t="e">
        <f t="shared" si="0"/>
        <v>#REF!</v>
      </c>
      <c r="I7" s="417" t="e">
        <f>+#REF!</f>
        <v>#REF!</v>
      </c>
      <c r="J7" s="418" t="e">
        <f t="shared" si="1"/>
        <v>#REF!</v>
      </c>
    </row>
    <row r="8" spans="1:10" x14ac:dyDescent="0.2">
      <c r="A8" s="384" t="s">
        <v>72</v>
      </c>
      <c r="B8" s="385" t="e" cm="1">
        <f t="array" ref="B8">SUMPRODUCT(IF(#REF!="Presupuesto Nacional",#REF!))</f>
        <v>#REF!</v>
      </c>
      <c r="C8" s="385" t="e" cm="1">
        <f t="array" ref="C8">SUMPRODUCT(IF(#REF!="Presupuesto Nacional POA Asignado",#REF!))</f>
        <v>#REF!</v>
      </c>
      <c r="D8" s="386"/>
      <c r="E8" s="386"/>
      <c r="F8" s="386"/>
      <c r="G8" s="386"/>
      <c r="H8" s="417" t="e">
        <f t="shared" si="0"/>
        <v>#REF!</v>
      </c>
      <c r="I8" s="417" t="e">
        <f>+#REF!</f>
        <v>#REF!</v>
      </c>
      <c r="J8" s="418" t="e">
        <f t="shared" si="1"/>
        <v>#REF!</v>
      </c>
    </row>
    <row r="9" spans="1:10" x14ac:dyDescent="0.2">
      <c r="A9" s="381" t="s">
        <v>401</v>
      </c>
      <c r="B9" s="382" t="e" cm="1">
        <f t="array" ref="B9">SUMPRODUCT(IF(#REF!="Presupuesto Nacional",#REF!))</f>
        <v>#REF!</v>
      </c>
      <c r="C9" s="382" t="e" cm="1">
        <f t="array" ref="C9">SUMPRODUCT(IF(#REF!="Presupuesto Nacional POA Asignado",#REF!))</f>
        <v>#REF!</v>
      </c>
      <c r="D9" s="383"/>
      <c r="E9" s="383"/>
      <c r="F9" s="383"/>
      <c r="G9" s="383"/>
      <c r="H9" s="416" t="e">
        <f t="shared" si="0"/>
        <v>#REF!</v>
      </c>
      <c r="I9" s="416" t="e">
        <f>+#REF!</f>
        <v>#REF!</v>
      </c>
      <c r="J9" s="418" t="e">
        <f t="shared" si="1"/>
        <v>#REF!</v>
      </c>
    </row>
    <row r="10" spans="1:10" x14ac:dyDescent="0.2">
      <c r="A10" s="384" t="s">
        <v>482</v>
      </c>
      <c r="B10" s="385">
        <f>+'Presupuesto Operaciones'!U34</f>
        <v>553800</v>
      </c>
      <c r="C10" s="385">
        <f>SUM('Presupuesto Operaciones'!U21:U33)+'Presupuesto Operaciones'!U20</f>
        <v>1162730</v>
      </c>
      <c r="D10" s="386"/>
      <c r="E10" s="386"/>
      <c r="F10" s="386"/>
      <c r="G10" s="386"/>
      <c r="H10" s="417">
        <f t="shared" si="0"/>
        <v>1716530</v>
      </c>
      <c r="I10" s="417">
        <f>+'Presupuesto Operaciones'!U35</f>
        <v>1716530</v>
      </c>
      <c r="J10" s="418">
        <f t="shared" si="1"/>
        <v>0</v>
      </c>
    </row>
    <row r="11" spans="1:10" x14ac:dyDescent="0.2">
      <c r="A11" s="384" t="s">
        <v>845</v>
      </c>
      <c r="B11" s="385" cm="1">
        <f t="array" ref="B11">SUMPRODUCT(IF('Presupuesto Planificación y D'!$C$20:$C$37="Presupuesto Nacional",'Presupuesto Planificación y D'!$U$20:$U$37))</f>
        <v>12000</v>
      </c>
      <c r="C11" s="385" cm="1">
        <f t="array" ref="C11">SUMPRODUCT(IF('Presupuesto Planificación y D'!$C$20:$C$37="Presupuesto Nacional POA Asignado",'Presupuesto Planificación y D'!$U$20:$U$37))</f>
        <v>388000.00333333341</v>
      </c>
      <c r="D11" s="386"/>
      <c r="E11" s="386"/>
      <c r="F11" s="386"/>
      <c r="G11" s="386"/>
      <c r="H11" s="417">
        <f t="shared" si="0"/>
        <v>400000.00333333341</v>
      </c>
      <c r="I11" s="417">
        <f>+'Presupuesto Planificación y D'!U38</f>
        <v>400000.00333333341</v>
      </c>
      <c r="J11" s="418">
        <f t="shared" si="1"/>
        <v>0</v>
      </c>
    </row>
    <row r="12" spans="1:10" x14ac:dyDescent="0.2">
      <c r="A12" s="384" t="s">
        <v>843</v>
      </c>
      <c r="B12" s="385" cm="1">
        <f t="array" ref="B12">SUMPRODUCT(IF('Presupuesto Recursos Humanos'!$C$24:$C$59="Presupuesto Nacional",'Presupuesto Recursos Humanos'!$U$24:$U$59))</f>
        <v>29856000</v>
      </c>
      <c r="C12" s="385" cm="1">
        <f t="array" ref="C12">SUMPRODUCT(IF('Presupuesto Recursos Humanos'!$C$24:$C$59="Presupuesto Nacional POA Asignado",'Presupuesto Recursos Humanos'!$U$24:$U$59))</f>
        <v>3019670</v>
      </c>
      <c r="D12" s="386"/>
      <c r="E12" s="386"/>
      <c r="F12" s="386"/>
      <c r="G12" s="386"/>
      <c r="H12" s="417">
        <f t="shared" si="0"/>
        <v>32875670</v>
      </c>
      <c r="I12" s="417">
        <f>+'Presupuesto Recursos Humanos'!U60</f>
        <v>32875670</v>
      </c>
      <c r="J12" s="418">
        <f t="shared" si="1"/>
        <v>0</v>
      </c>
    </row>
    <row r="13" spans="1:10" s="415" customFormat="1" ht="13.5" customHeight="1" x14ac:dyDescent="0.25">
      <c r="A13" s="442" t="s">
        <v>861</v>
      </c>
      <c r="B13" s="443">
        <f>SUM('Presupuesto Revisión y Control '!U20:U22)</f>
        <v>1713900</v>
      </c>
      <c r="C13" s="443"/>
      <c r="D13" s="444"/>
      <c r="E13" s="444"/>
      <c r="F13" s="444"/>
      <c r="G13" s="444"/>
      <c r="H13" s="445">
        <f t="shared" si="0"/>
        <v>1713900</v>
      </c>
      <c r="I13" s="445">
        <f>+'Presupuesto Revisión y Control '!U23</f>
        <v>1713900</v>
      </c>
      <c r="J13" s="446">
        <f t="shared" si="1"/>
        <v>0</v>
      </c>
    </row>
    <row r="14" spans="1:10" s="415" customFormat="1" x14ac:dyDescent="0.25">
      <c r="A14" s="442" t="s">
        <v>844</v>
      </c>
      <c r="B14" s="443" t="e" cm="1">
        <f t="array" ref="B14">SUMPRODUCT(IF(#REF!="Presupuesto Nacional",#REF!))</f>
        <v>#REF!</v>
      </c>
      <c r="C14" s="443" t="e" cm="1">
        <f t="array" ref="C14">SUMPRODUCT(IF(#REF!="Presupuesto Nacional POA Asignado",#REF!))</f>
        <v>#REF!</v>
      </c>
      <c r="D14" s="444"/>
      <c r="E14" s="443"/>
      <c r="F14" s="443"/>
      <c r="G14" s="443"/>
      <c r="H14" s="445" t="e">
        <f t="shared" si="0"/>
        <v>#REF!</v>
      </c>
      <c r="I14" s="445" t="e">
        <f>+#REF!</f>
        <v>#REF!</v>
      </c>
      <c r="J14" s="446" t="e">
        <f t="shared" si="1"/>
        <v>#REF!</v>
      </c>
    </row>
    <row r="15" spans="1:10" x14ac:dyDescent="0.2">
      <c r="A15" s="387" t="s">
        <v>846</v>
      </c>
      <c r="B15" s="388" t="e">
        <f t="shared" ref="B15:H15" si="2">SUM(B5:B14)</f>
        <v>#REF!</v>
      </c>
      <c r="C15" s="388" t="e">
        <f t="shared" si="2"/>
        <v>#REF!</v>
      </c>
      <c r="D15" s="388">
        <f t="shared" si="2"/>
        <v>0</v>
      </c>
      <c r="E15" s="389">
        <f t="shared" si="2"/>
        <v>0</v>
      </c>
      <c r="F15" s="388">
        <f t="shared" si="2"/>
        <v>0</v>
      </c>
      <c r="G15" s="388">
        <f t="shared" si="2"/>
        <v>0</v>
      </c>
      <c r="H15" s="388" t="e">
        <f t="shared" si="2"/>
        <v>#REF!</v>
      </c>
      <c r="I15" s="388"/>
    </row>
    <row r="16" spans="1:10" x14ac:dyDescent="0.2">
      <c r="B16" s="390" t="e">
        <f>#REF!-B15</f>
        <v>#REF!</v>
      </c>
      <c r="C16" s="390"/>
    </row>
  </sheetData>
  <sortState xmlns:xlrd2="http://schemas.microsoft.com/office/spreadsheetml/2017/richdata2" ref="A5:J14">
    <sortCondition ref="A5:A14"/>
  </sortState>
  <mergeCells count="1">
    <mergeCell ref="A3:G3"/>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8E2D0-7D0C-4F15-ACC6-54C8A9620A93}">
  <sheetPr codeName="Sheet27"/>
  <dimension ref="B9:C21"/>
  <sheetViews>
    <sheetView workbookViewId="0"/>
  </sheetViews>
  <sheetFormatPr defaultColWidth="8.85546875" defaultRowHeight="15" x14ac:dyDescent="0.25"/>
  <cols>
    <col min="2" max="2" width="43.42578125" bestFit="1" customWidth="1"/>
    <col min="3" max="3" width="27.42578125" customWidth="1"/>
  </cols>
  <sheetData>
    <row r="9" spans="2:3" x14ac:dyDescent="0.25">
      <c r="B9" s="1098" t="s">
        <v>882</v>
      </c>
      <c r="C9" s="1099"/>
    </row>
    <row r="10" spans="2:3" ht="51" customHeight="1" x14ac:dyDescent="0.25">
      <c r="B10" s="471" t="s">
        <v>837</v>
      </c>
      <c r="C10" s="472" t="s">
        <v>883</v>
      </c>
    </row>
    <row r="11" spans="2:3" x14ac:dyDescent="0.25">
      <c r="B11" s="381" t="s">
        <v>842</v>
      </c>
      <c r="C11" s="428">
        <v>6948625</v>
      </c>
    </row>
    <row r="12" spans="2:3" x14ac:dyDescent="0.25">
      <c r="B12" s="384" t="s">
        <v>841</v>
      </c>
      <c r="C12" s="429">
        <v>600000</v>
      </c>
    </row>
    <row r="13" spans="2:3" x14ac:dyDescent="0.25">
      <c r="B13" s="381" t="s">
        <v>495</v>
      </c>
      <c r="C13" s="428">
        <v>1807465</v>
      </c>
    </row>
    <row r="14" spans="2:3" x14ac:dyDescent="0.25">
      <c r="B14" s="384" t="s">
        <v>72</v>
      </c>
      <c r="C14" s="429">
        <v>521000</v>
      </c>
    </row>
    <row r="15" spans="2:3" x14ac:dyDescent="0.25">
      <c r="B15" s="381" t="s">
        <v>401</v>
      </c>
      <c r="C15" s="428">
        <v>705850</v>
      </c>
    </row>
    <row r="16" spans="2:3" x14ac:dyDescent="0.25">
      <c r="B16" s="425" t="s">
        <v>482</v>
      </c>
      <c r="C16" s="430">
        <v>1162749.8799999999</v>
      </c>
    </row>
    <row r="17" spans="2:3" x14ac:dyDescent="0.25">
      <c r="B17" s="381" t="s">
        <v>845</v>
      </c>
      <c r="C17" s="428">
        <v>400000</v>
      </c>
    </row>
    <row r="18" spans="2:3" x14ac:dyDescent="0.25">
      <c r="B18" s="384" t="s">
        <v>843</v>
      </c>
      <c r="C18" s="429">
        <v>3907500</v>
      </c>
    </row>
    <row r="19" spans="2:3" x14ac:dyDescent="0.25">
      <c r="B19" s="381" t="s">
        <v>861</v>
      </c>
      <c r="C19" s="428">
        <v>0</v>
      </c>
    </row>
    <row r="20" spans="2:3" x14ac:dyDescent="0.25">
      <c r="B20" s="384" t="s">
        <v>844</v>
      </c>
      <c r="C20" s="429">
        <v>1100000</v>
      </c>
    </row>
    <row r="21" spans="2:3" x14ac:dyDescent="0.25">
      <c r="B21" s="473" t="s">
        <v>846</v>
      </c>
      <c r="C21" s="474">
        <f>SUM(C11:C20)</f>
        <v>17153189.879999999</v>
      </c>
    </row>
  </sheetData>
  <sortState xmlns:xlrd2="http://schemas.microsoft.com/office/spreadsheetml/2017/richdata2" ref="C28:C37">
    <sortCondition ref="C28:C37"/>
  </sortState>
  <mergeCells count="1">
    <mergeCell ref="B9:C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7E16F-85A3-4782-86E9-EE6EB69282BA}">
  <sheetPr codeName="Sheet3">
    <pageSetUpPr fitToPage="1"/>
  </sheetPr>
  <dimension ref="A3:V43"/>
  <sheetViews>
    <sheetView workbookViewId="0"/>
  </sheetViews>
  <sheetFormatPr defaultColWidth="11.42578125" defaultRowHeight="15" x14ac:dyDescent="0.25"/>
  <cols>
    <col min="1" max="1" width="56.28515625" bestFit="1" customWidth="1"/>
    <col min="2" max="2" width="35.42578125" style="52" customWidth="1"/>
    <col min="3" max="3" width="26.7109375" customWidth="1"/>
    <col min="4" max="4" width="19.7109375" customWidth="1"/>
    <col min="5" max="5" width="13.7109375" style="15" customWidth="1"/>
    <col min="6" max="6" width="58.85546875" customWidth="1"/>
    <col min="7" max="7" width="11" customWidth="1"/>
    <col min="8" max="8" width="16.5703125" customWidth="1"/>
    <col min="9" max="12" width="11.42578125" customWidth="1"/>
    <col min="13" max="14" width="11.85546875" customWidth="1"/>
    <col min="15" max="15" width="22.28515625" customWidth="1"/>
    <col min="16" max="16" width="12.85546875" customWidth="1"/>
    <col min="17" max="17" width="21.5703125" customWidth="1"/>
    <col min="18" max="18" width="18.42578125" customWidth="1"/>
    <col min="19" max="19" width="25" style="86" customWidth="1"/>
    <col min="20" max="20" width="35.28515625" style="15" customWidth="1"/>
    <col min="21" max="21" width="39.85546875" customWidth="1"/>
    <col min="22" max="25" width="16.7109375" customWidth="1"/>
    <col min="26" max="144" width="11.42578125" customWidth="1"/>
    <col min="145" max="145" width="6.42578125" customWidth="1"/>
    <col min="146" max="146" width="6.85546875" customWidth="1"/>
  </cols>
  <sheetData>
    <row r="3" spans="1:21" x14ac:dyDescent="0.25">
      <c r="O3" s="16"/>
    </row>
    <row r="4" spans="1:21" x14ac:dyDescent="0.25">
      <c r="O4" s="16"/>
    </row>
    <row r="5" spans="1:21" ht="28.5" customHeight="1" x14ac:dyDescent="0.35">
      <c r="A5" s="849"/>
      <c r="B5" s="849"/>
      <c r="C5" s="849"/>
      <c r="D5" s="849"/>
      <c r="E5" s="849"/>
      <c r="F5" s="849"/>
      <c r="G5" s="849"/>
      <c r="H5" s="849"/>
      <c r="I5" s="849"/>
      <c r="J5" s="849"/>
      <c r="K5" s="849"/>
      <c r="L5" s="849"/>
      <c r="M5" s="849"/>
      <c r="N5" s="849"/>
      <c r="O5" s="849"/>
      <c r="P5" s="849"/>
      <c r="Q5" s="849"/>
      <c r="R5" s="849"/>
      <c r="S5" s="849"/>
      <c r="T5" s="849"/>
    </row>
    <row r="6" spans="1:21" ht="28.5" customHeight="1" x14ac:dyDescent="0.35">
      <c r="A6" s="17"/>
      <c r="B6" s="17"/>
      <c r="C6" s="17"/>
      <c r="D6" s="17"/>
      <c r="E6" s="17"/>
      <c r="F6" s="17"/>
      <c r="G6" s="17"/>
      <c r="H6" s="17"/>
      <c r="I6" s="17"/>
      <c r="J6" s="17"/>
      <c r="K6" s="17"/>
      <c r="L6" s="17"/>
      <c r="M6" s="17"/>
      <c r="N6" s="17"/>
      <c r="O6" s="17"/>
      <c r="P6" s="17"/>
      <c r="Q6" s="17"/>
      <c r="R6" s="17"/>
      <c r="S6" s="17"/>
      <c r="T6" s="17"/>
    </row>
    <row r="7" spans="1:21" ht="28.5" customHeight="1" x14ac:dyDescent="0.35">
      <c r="A7" s="17"/>
      <c r="B7" s="17"/>
      <c r="C7" s="17"/>
      <c r="D7" s="17"/>
      <c r="E7" s="17"/>
      <c r="F7" s="17"/>
      <c r="G7" s="17"/>
      <c r="H7" s="17"/>
      <c r="I7" s="17"/>
      <c r="J7" s="17"/>
      <c r="K7" s="17"/>
      <c r="L7" s="17"/>
      <c r="M7" s="17"/>
      <c r="N7" s="17"/>
      <c r="O7" s="17"/>
      <c r="P7" s="17"/>
      <c r="Q7" s="17"/>
      <c r="R7" s="17"/>
      <c r="S7" s="17"/>
      <c r="T7" s="17"/>
    </row>
    <row r="8" spans="1:21" ht="28.5" customHeight="1" x14ac:dyDescent="0.35">
      <c r="A8" s="17"/>
      <c r="B8" s="17"/>
      <c r="C8" s="17"/>
      <c r="D8" s="17"/>
      <c r="E8" s="17"/>
      <c r="F8" s="17"/>
      <c r="G8" s="17"/>
      <c r="H8" s="17"/>
      <c r="I8" s="17"/>
      <c r="J8" s="17"/>
      <c r="K8" s="17"/>
      <c r="L8" s="17"/>
      <c r="M8" s="17"/>
      <c r="N8" s="17"/>
      <c r="O8" s="17"/>
      <c r="P8" s="17"/>
      <c r="Q8" s="17"/>
      <c r="R8" s="17"/>
      <c r="S8" s="17"/>
      <c r="T8" s="17"/>
    </row>
    <row r="9" spans="1:21" ht="22.5" x14ac:dyDescent="0.3">
      <c r="A9" s="850" t="s">
        <v>0</v>
      </c>
      <c r="B9" s="850"/>
      <c r="C9" s="850"/>
      <c r="D9" s="850"/>
      <c r="E9" s="850"/>
      <c r="F9" s="850"/>
      <c r="G9" s="850"/>
      <c r="H9" s="850"/>
      <c r="I9" s="850"/>
      <c r="J9" s="850"/>
      <c r="K9" s="850"/>
      <c r="L9" s="850"/>
      <c r="M9" s="850"/>
      <c r="N9" s="850"/>
      <c r="O9" s="850"/>
      <c r="P9" s="850"/>
      <c r="Q9" s="850"/>
      <c r="R9" s="850"/>
      <c r="S9" s="850"/>
      <c r="T9" s="850"/>
      <c r="U9" s="850"/>
    </row>
    <row r="10" spans="1:21" ht="22.5" x14ac:dyDescent="0.3">
      <c r="A10" s="850" t="s">
        <v>1</v>
      </c>
      <c r="B10" s="850"/>
      <c r="C10" s="850"/>
      <c r="D10" s="850"/>
      <c r="E10" s="850"/>
      <c r="F10" s="850"/>
      <c r="G10" s="850"/>
      <c r="H10" s="850"/>
      <c r="I10" s="850"/>
      <c r="J10" s="850"/>
      <c r="K10" s="850"/>
      <c r="L10" s="850"/>
      <c r="M10" s="850"/>
      <c r="N10" s="850"/>
      <c r="O10" s="850"/>
      <c r="P10" s="850"/>
      <c r="Q10" s="850"/>
      <c r="R10" s="850"/>
      <c r="S10" s="850"/>
      <c r="T10" s="850"/>
      <c r="U10" s="850"/>
    </row>
    <row r="11" spans="1:21" ht="21" x14ac:dyDescent="0.35">
      <c r="A11" s="17"/>
      <c r="B11" s="51"/>
      <c r="C11" s="17"/>
      <c r="D11" s="17"/>
      <c r="E11" s="17"/>
      <c r="F11" s="17"/>
      <c r="G11" s="17"/>
      <c r="H11" s="17"/>
      <c r="I11" s="17"/>
      <c r="J11" s="17"/>
      <c r="K11" s="17"/>
      <c r="L11" s="17"/>
      <c r="M11" s="17"/>
      <c r="N11" s="17"/>
      <c r="O11" s="17"/>
      <c r="P11" s="17"/>
      <c r="Q11" s="17"/>
      <c r="R11" s="17"/>
      <c r="S11" s="87"/>
      <c r="T11" s="17"/>
    </row>
    <row r="12" spans="1:21" ht="15.75" x14ac:dyDescent="0.25">
      <c r="A12" s="100" t="s">
        <v>282</v>
      </c>
      <c r="B12" s="848" t="s">
        <v>318</v>
      </c>
      <c r="C12" s="848"/>
      <c r="D12" s="848"/>
      <c r="E12" s="848"/>
      <c r="F12" s="848"/>
      <c r="G12" s="848"/>
      <c r="H12" s="848"/>
      <c r="I12" s="848"/>
      <c r="J12" s="848"/>
      <c r="K12" s="848"/>
      <c r="L12" s="848"/>
      <c r="M12" s="848"/>
      <c r="N12" s="848"/>
      <c r="O12" s="848"/>
      <c r="P12" s="848"/>
      <c r="Q12" s="848"/>
      <c r="R12" s="848"/>
      <c r="S12" s="848"/>
      <c r="T12" s="848"/>
      <c r="U12" s="848"/>
    </row>
    <row r="13" spans="1:21" ht="15.75" x14ac:dyDescent="0.25">
      <c r="A13" s="100" t="s">
        <v>186</v>
      </c>
      <c r="B13" s="848" t="s">
        <v>319</v>
      </c>
      <c r="C13" s="848"/>
      <c r="D13" s="848"/>
      <c r="E13" s="848"/>
      <c r="F13" s="848"/>
      <c r="G13" s="848"/>
      <c r="H13" s="848"/>
      <c r="I13" s="848"/>
      <c r="J13" s="848"/>
      <c r="K13" s="848"/>
      <c r="L13" s="848"/>
      <c r="M13" s="848"/>
      <c r="N13" s="848"/>
      <c r="O13" s="848"/>
      <c r="P13" s="848"/>
      <c r="Q13" s="848"/>
      <c r="R13" s="848"/>
      <c r="S13" s="848"/>
      <c r="T13" s="848"/>
      <c r="U13" s="848"/>
    </row>
    <row r="14" spans="1:21" ht="15.75" x14ac:dyDescent="0.25">
      <c r="A14" s="100" t="s">
        <v>188</v>
      </c>
      <c r="B14" s="848" t="s">
        <v>320</v>
      </c>
      <c r="C14" s="848"/>
      <c r="D14" s="848"/>
      <c r="E14" s="848"/>
      <c r="F14" s="848"/>
      <c r="G14" s="848"/>
      <c r="H14" s="848"/>
      <c r="I14" s="848"/>
      <c r="J14" s="848"/>
      <c r="K14" s="848"/>
      <c r="L14" s="848"/>
      <c r="M14" s="848"/>
      <c r="N14" s="848"/>
      <c r="O14" s="848"/>
      <c r="P14" s="848"/>
      <c r="Q14" s="848"/>
      <c r="R14" s="848"/>
      <c r="S14" s="848"/>
      <c r="T14" s="848"/>
      <c r="U14" s="848"/>
    </row>
    <row r="15" spans="1:21" ht="15.75" x14ac:dyDescent="0.25">
      <c r="A15" s="101"/>
      <c r="B15" s="126"/>
      <c r="C15" s="101"/>
      <c r="D15" s="101"/>
      <c r="E15" s="103"/>
      <c r="F15" s="101"/>
      <c r="G15" s="101"/>
      <c r="H15" s="101"/>
      <c r="I15" s="101"/>
      <c r="J15" s="101"/>
      <c r="K15" s="101"/>
      <c r="L15" s="101"/>
      <c r="M15" s="101"/>
      <c r="N15" s="101"/>
      <c r="O15" s="101"/>
      <c r="P15" s="101"/>
      <c r="Q15" s="101"/>
      <c r="R15" s="101"/>
      <c r="S15" s="127"/>
      <c r="T15" s="103"/>
      <c r="U15" s="101"/>
    </row>
    <row r="16" spans="1:21" ht="17.25" customHeight="1" x14ac:dyDescent="0.25">
      <c r="A16" s="845" t="s">
        <v>6</v>
      </c>
      <c r="B16" s="845" t="s">
        <v>7</v>
      </c>
      <c r="C16" s="845" t="s">
        <v>8</v>
      </c>
      <c r="D16" s="846" t="s">
        <v>190</v>
      </c>
      <c r="E16" s="846"/>
      <c r="F16" s="845" t="s">
        <v>10</v>
      </c>
      <c r="G16" s="847" t="s">
        <v>11</v>
      </c>
      <c r="H16" s="847"/>
      <c r="I16" s="847"/>
      <c r="J16" s="847" t="s">
        <v>12</v>
      </c>
      <c r="K16" s="847"/>
      <c r="L16" s="847"/>
      <c r="M16" s="847" t="s">
        <v>13</v>
      </c>
      <c r="N16" s="847"/>
      <c r="O16" s="847"/>
      <c r="P16" s="847" t="s">
        <v>14</v>
      </c>
      <c r="Q16" s="847"/>
      <c r="R16" s="847"/>
      <c r="S16" s="845" t="s">
        <v>15</v>
      </c>
      <c r="T16" s="845" t="s">
        <v>16</v>
      </c>
      <c r="U16" s="845" t="s">
        <v>284</v>
      </c>
    </row>
    <row r="17" spans="1:22" s="18" customFormat="1" ht="30" x14ac:dyDescent="0.25">
      <c r="A17" s="845"/>
      <c r="B17" s="845"/>
      <c r="C17" s="845"/>
      <c r="D17" s="96" t="s">
        <v>17</v>
      </c>
      <c r="E17" s="96" t="s">
        <v>18</v>
      </c>
      <c r="F17" s="845"/>
      <c r="G17" s="96" t="s">
        <v>19</v>
      </c>
      <c r="H17" s="96" t="s">
        <v>20</v>
      </c>
      <c r="I17" s="96" t="s">
        <v>21</v>
      </c>
      <c r="J17" s="96" t="s">
        <v>22</v>
      </c>
      <c r="K17" s="96" t="s">
        <v>23</v>
      </c>
      <c r="L17" s="96" t="s">
        <v>24</v>
      </c>
      <c r="M17" s="96" t="s">
        <v>25</v>
      </c>
      <c r="N17" s="96" t="s">
        <v>26</v>
      </c>
      <c r="O17" s="96" t="s">
        <v>27</v>
      </c>
      <c r="P17" s="96" t="s">
        <v>28</v>
      </c>
      <c r="Q17" s="96" t="s">
        <v>29</v>
      </c>
      <c r="R17" s="96" t="s">
        <v>30</v>
      </c>
      <c r="S17" s="845"/>
      <c r="T17" s="845"/>
      <c r="U17" s="845"/>
    </row>
    <row r="18" spans="1:22" ht="232.5" customHeight="1" x14ac:dyDescent="0.25">
      <c r="A18" s="105" t="s">
        <v>896</v>
      </c>
      <c r="B18" s="131" t="s">
        <v>898</v>
      </c>
      <c r="C18" s="131" t="s">
        <v>897</v>
      </c>
      <c r="D18" s="131" t="s">
        <v>315</v>
      </c>
      <c r="E18" s="157">
        <v>1</v>
      </c>
      <c r="F18" s="105" t="s">
        <v>666</v>
      </c>
      <c r="G18" s="107"/>
      <c r="H18" s="107"/>
      <c r="I18" s="107"/>
      <c r="J18" s="107"/>
      <c r="K18" s="107"/>
      <c r="L18" s="107"/>
      <c r="M18" s="107"/>
      <c r="N18" s="107"/>
      <c r="O18" s="279">
        <v>0.4</v>
      </c>
      <c r="P18" s="107"/>
      <c r="Q18" s="279">
        <v>0.6</v>
      </c>
      <c r="R18" s="107"/>
      <c r="S18" s="134">
        <v>400000</v>
      </c>
      <c r="T18" s="131" t="s">
        <v>555</v>
      </c>
      <c r="U18" s="131" t="s">
        <v>894</v>
      </c>
    </row>
    <row r="19" spans="1:22" s="88" customFormat="1" ht="191.25" customHeight="1" x14ac:dyDescent="0.25">
      <c r="A19" s="120" t="s">
        <v>899</v>
      </c>
      <c r="B19" s="135" t="s">
        <v>901</v>
      </c>
      <c r="C19" s="120" t="s">
        <v>900</v>
      </c>
      <c r="D19" s="135" t="s">
        <v>18</v>
      </c>
      <c r="E19" s="136">
        <v>3</v>
      </c>
      <c r="F19" s="120" t="s">
        <v>556</v>
      </c>
      <c r="G19" s="115"/>
      <c r="H19" s="115"/>
      <c r="I19" s="115"/>
      <c r="J19" s="115"/>
      <c r="K19" s="115"/>
      <c r="L19" s="115">
        <v>1</v>
      </c>
      <c r="M19" s="115"/>
      <c r="N19" s="115"/>
      <c r="O19" s="115">
        <v>2</v>
      </c>
      <c r="P19" s="115"/>
      <c r="Q19" s="115"/>
      <c r="R19" s="115"/>
      <c r="S19" s="137">
        <v>0</v>
      </c>
      <c r="T19" s="135" t="s">
        <v>557</v>
      </c>
      <c r="U19" s="135" t="s">
        <v>558</v>
      </c>
    </row>
    <row r="20" spans="1:22" ht="117" customHeight="1" x14ac:dyDescent="0.25">
      <c r="A20" s="138" t="s">
        <v>893</v>
      </c>
      <c r="B20" s="139" t="s">
        <v>559</v>
      </c>
      <c r="C20" s="138" t="s">
        <v>607</v>
      </c>
      <c r="D20" s="140" t="s">
        <v>18</v>
      </c>
      <c r="E20" s="140">
        <v>4</v>
      </c>
      <c r="F20" s="138" t="s">
        <v>560</v>
      </c>
      <c r="G20" s="107"/>
      <c r="H20" s="107">
        <v>1</v>
      </c>
      <c r="I20" s="107">
        <v>1</v>
      </c>
      <c r="J20" s="107">
        <v>1</v>
      </c>
      <c r="K20" s="107">
        <v>1</v>
      </c>
      <c r="L20" s="107"/>
      <c r="M20" s="107"/>
      <c r="N20" s="107"/>
      <c r="O20" s="107"/>
      <c r="P20" s="107"/>
      <c r="Q20" s="107"/>
      <c r="R20" s="107"/>
      <c r="S20" s="134">
        <v>89600</v>
      </c>
      <c r="T20" s="131" t="s">
        <v>561</v>
      </c>
      <c r="U20" s="131" t="s">
        <v>562</v>
      </c>
    </row>
    <row r="21" spans="1:22" s="89" customFormat="1" ht="159" customHeight="1" x14ac:dyDescent="0.25">
      <c r="A21" s="120" t="s">
        <v>902</v>
      </c>
      <c r="B21" s="135" t="s">
        <v>904</v>
      </c>
      <c r="C21" s="135" t="s">
        <v>905</v>
      </c>
      <c r="D21" s="135" t="s">
        <v>563</v>
      </c>
      <c r="E21" s="136">
        <v>2</v>
      </c>
      <c r="F21" s="120" t="s">
        <v>564</v>
      </c>
      <c r="G21" s="141"/>
      <c r="H21" s="141"/>
      <c r="I21" s="141"/>
      <c r="J21" s="142"/>
      <c r="K21" s="142"/>
      <c r="L21" s="142">
        <v>1</v>
      </c>
      <c r="M21" s="142"/>
      <c r="N21" s="142"/>
      <c r="O21" s="142"/>
      <c r="P21" s="142"/>
      <c r="Q21" s="142"/>
      <c r="R21" s="142">
        <v>1</v>
      </c>
      <c r="S21" s="137">
        <v>0</v>
      </c>
      <c r="T21" s="135" t="s">
        <v>565</v>
      </c>
      <c r="U21" s="143" t="s">
        <v>903</v>
      </c>
    </row>
    <row r="22" spans="1:22" s="19" customFormat="1" ht="150" x14ac:dyDescent="0.25">
      <c r="A22" s="105" t="s">
        <v>906</v>
      </c>
      <c r="B22" s="131" t="s">
        <v>566</v>
      </c>
      <c r="C22" s="105" t="s">
        <v>608</v>
      </c>
      <c r="D22" s="133" t="s">
        <v>609</v>
      </c>
      <c r="E22" s="133">
        <v>3</v>
      </c>
      <c r="F22" s="105" t="s">
        <v>568</v>
      </c>
      <c r="G22" s="144"/>
      <c r="H22" s="145"/>
      <c r="I22" s="145"/>
      <c r="J22" s="145"/>
      <c r="K22" s="145">
        <v>1</v>
      </c>
      <c r="L22" s="145"/>
      <c r="M22" s="145"/>
      <c r="N22" s="145"/>
      <c r="O22" s="145"/>
      <c r="P22" s="145">
        <v>2</v>
      </c>
      <c r="Q22" s="145"/>
      <c r="R22" s="145"/>
      <c r="S22" s="134">
        <v>0</v>
      </c>
      <c r="T22" s="131" t="s">
        <v>569</v>
      </c>
      <c r="U22" s="146" t="s">
        <v>895</v>
      </c>
    </row>
    <row r="23" spans="1:22" s="19" customFormat="1" ht="105" x14ac:dyDescent="0.25">
      <c r="A23" s="431" t="s">
        <v>570</v>
      </c>
      <c r="B23" s="160" t="s">
        <v>571</v>
      </c>
      <c r="C23" s="431" t="s">
        <v>567</v>
      </c>
      <c r="D23" s="160" t="s">
        <v>572</v>
      </c>
      <c r="E23" s="203">
        <v>2</v>
      </c>
      <c r="F23" s="431" t="s">
        <v>573</v>
      </c>
      <c r="G23" s="432"/>
      <c r="H23" s="176"/>
      <c r="I23" s="176"/>
      <c r="J23" s="176"/>
      <c r="K23" s="176"/>
      <c r="L23" s="176"/>
      <c r="M23" s="176">
        <v>1</v>
      </c>
      <c r="N23" s="176"/>
      <c r="O23" s="176"/>
      <c r="P23" s="176"/>
      <c r="Q23" s="176"/>
      <c r="R23" s="176">
        <v>1</v>
      </c>
      <c r="S23" s="433">
        <v>0</v>
      </c>
      <c r="T23" s="160"/>
      <c r="U23" s="434" t="s">
        <v>574</v>
      </c>
      <c r="V23" s="435"/>
    </row>
    <row r="24" spans="1:22" s="467" customFormat="1" ht="87" customHeight="1" x14ac:dyDescent="0.25">
      <c r="A24" s="105" t="s">
        <v>907</v>
      </c>
      <c r="B24" s="131" t="s">
        <v>575</v>
      </c>
      <c r="C24" s="132" t="s">
        <v>576</v>
      </c>
      <c r="D24" s="133" t="s">
        <v>577</v>
      </c>
      <c r="E24" s="133">
        <v>3</v>
      </c>
      <c r="F24" s="132" t="s">
        <v>578</v>
      </c>
      <c r="G24" s="145"/>
      <c r="H24" s="145"/>
      <c r="I24" s="145">
        <v>1</v>
      </c>
      <c r="J24" s="145"/>
      <c r="K24" s="145"/>
      <c r="L24" s="145">
        <v>1</v>
      </c>
      <c r="M24" s="145"/>
      <c r="N24" s="145"/>
      <c r="O24" s="145"/>
      <c r="P24" s="145">
        <v>1</v>
      </c>
      <c r="Q24" s="145"/>
      <c r="R24" s="145"/>
      <c r="S24" s="134">
        <v>0</v>
      </c>
      <c r="T24" s="131" t="s">
        <v>579</v>
      </c>
      <c r="U24" s="146"/>
    </row>
    <row r="25" spans="1:22" s="89" customFormat="1" ht="216" customHeight="1" x14ac:dyDescent="0.25">
      <c r="A25" s="120" t="s">
        <v>580</v>
      </c>
      <c r="B25" s="135" t="s">
        <v>305</v>
      </c>
      <c r="C25" s="120" t="s">
        <v>306</v>
      </c>
      <c r="D25" s="135" t="s">
        <v>581</v>
      </c>
      <c r="E25" s="136">
        <v>3</v>
      </c>
      <c r="F25" s="120" t="s">
        <v>582</v>
      </c>
      <c r="G25" s="141"/>
      <c r="H25" s="141"/>
      <c r="I25" s="141"/>
      <c r="J25" s="142"/>
      <c r="K25" s="142"/>
      <c r="L25" s="142"/>
      <c r="M25" s="142"/>
      <c r="N25" s="142"/>
      <c r="O25" s="142"/>
      <c r="P25" s="142"/>
      <c r="Q25" s="142">
        <v>3</v>
      </c>
      <c r="R25" s="142"/>
      <c r="S25" s="137">
        <v>110400</v>
      </c>
      <c r="T25" s="135" t="s">
        <v>583</v>
      </c>
      <c r="U25" s="143" t="s">
        <v>584</v>
      </c>
    </row>
    <row r="26" spans="1:22" ht="150" x14ac:dyDescent="0.25">
      <c r="A26" s="148" t="s">
        <v>585</v>
      </c>
      <c r="B26" s="131" t="s">
        <v>586</v>
      </c>
      <c r="C26" s="132" t="s">
        <v>587</v>
      </c>
      <c r="D26" s="131" t="s">
        <v>588</v>
      </c>
      <c r="E26" s="131">
        <v>3</v>
      </c>
      <c r="F26" s="132" t="s">
        <v>589</v>
      </c>
      <c r="G26" s="107"/>
      <c r="H26" s="107"/>
      <c r="I26" s="107"/>
      <c r="J26" s="107"/>
      <c r="K26" s="107"/>
      <c r="L26" s="107"/>
      <c r="M26" s="107">
        <v>1</v>
      </c>
      <c r="N26" s="107">
        <v>1</v>
      </c>
      <c r="O26" s="107">
        <v>1</v>
      </c>
      <c r="P26" s="107"/>
      <c r="Q26" s="107"/>
      <c r="R26" s="107"/>
      <c r="S26" s="134">
        <v>0</v>
      </c>
      <c r="T26" s="131" t="s">
        <v>590</v>
      </c>
      <c r="U26" s="146" t="s">
        <v>591</v>
      </c>
    </row>
    <row r="27" spans="1:22" s="88" customFormat="1" ht="105" x14ac:dyDescent="0.25">
      <c r="A27" s="120" t="s">
        <v>592</v>
      </c>
      <c r="B27" s="135" t="s">
        <v>593</v>
      </c>
      <c r="C27" s="149" t="s">
        <v>594</v>
      </c>
      <c r="D27" s="135" t="s">
        <v>588</v>
      </c>
      <c r="E27" s="135">
        <v>1</v>
      </c>
      <c r="F27" s="149" t="s">
        <v>653</v>
      </c>
      <c r="G27" s="115"/>
      <c r="H27" s="115"/>
      <c r="I27" s="115">
        <v>1</v>
      </c>
      <c r="J27" s="115"/>
      <c r="K27" s="115"/>
      <c r="L27" s="115"/>
      <c r="M27" s="115"/>
      <c r="N27" s="115"/>
      <c r="O27" s="115"/>
      <c r="P27" s="115"/>
      <c r="Q27" s="115"/>
      <c r="R27" s="115"/>
      <c r="S27" s="137">
        <v>0</v>
      </c>
      <c r="T27" s="135" t="s">
        <v>595</v>
      </c>
      <c r="U27" s="147"/>
    </row>
    <row r="28" spans="1:22" ht="120" customHeight="1" x14ac:dyDescent="0.25">
      <c r="A28" s="105" t="s">
        <v>596</v>
      </c>
      <c r="B28" s="131" t="s">
        <v>597</v>
      </c>
      <c r="C28" s="132" t="s">
        <v>598</v>
      </c>
      <c r="D28" s="131" t="s">
        <v>599</v>
      </c>
      <c r="E28" s="133">
        <v>1</v>
      </c>
      <c r="F28" s="105" t="s">
        <v>600</v>
      </c>
      <c r="G28" s="107"/>
      <c r="H28" s="107"/>
      <c r="I28" s="107"/>
      <c r="J28" s="107"/>
      <c r="K28" s="107"/>
      <c r="L28" s="107">
        <v>1</v>
      </c>
      <c r="M28" s="107"/>
      <c r="N28" s="107"/>
      <c r="O28" s="107"/>
      <c r="P28" s="107"/>
      <c r="Q28" s="107"/>
      <c r="R28" s="107"/>
      <c r="S28" s="134">
        <v>0</v>
      </c>
      <c r="T28" s="131" t="s">
        <v>601</v>
      </c>
      <c r="U28" s="146"/>
    </row>
    <row r="29" spans="1:22" s="88" customFormat="1" ht="121.5" customHeight="1" x14ac:dyDescent="0.25">
      <c r="A29" s="120" t="s">
        <v>602</v>
      </c>
      <c r="B29" s="135" t="s">
        <v>603</v>
      </c>
      <c r="C29" s="149" t="s">
        <v>604</v>
      </c>
      <c r="D29" s="135" t="s">
        <v>599</v>
      </c>
      <c r="E29" s="136">
        <v>2</v>
      </c>
      <c r="F29" s="120" t="s">
        <v>605</v>
      </c>
      <c r="G29" s="115"/>
      <c r="H29" s="150"/>
      <c r="I29" s="150"/>
      <c r="J29" s="115"/>
      <c r="K29" s="115"/>
      <c r="L29" s="115"/>
      <c r="M29" s="115">
        <v>2</v>
      </c>
      <c r="N29" s="115"/>
      <c r="O29" s="115"/>
      <c r="P29" s="115"/>
      <c r="Q29" s="115"/>
      <c r="R29" s="115"/>
      <c r="S29" s="137">
        <v>0</v>
      </c>
      <c r="T29" s="135" t="s">
        <v>606</v>
      </c>
      <c r="U29" s="143"/>
    </row>
    <row r="30" spans="1:22" s="88" customFormat="1" ht="212.25" customHeight="1" x14ac:dyDescent="0.25">
      <c r="A30" s="105" t="s">
        <v>1199</v>
      </c>
      <c r="B30" s="468" t="s">
        <v>938</v>
      </c>
      <c r="C30" s="468" t="s">
        <v>939</v>
      </c>
      <c r="D30" s="469" t="s">
        <v>47</v>
      </c>
      <c r="E30" s="469">
        <v>3</v>
      </c>
      <c r="F30" s="105" t="s">
        <v>1274</v>
      </c>
      <c r="G30" s="107"/>
      <c r="H30" s="239"/>
      <c r="I30" s="239"/>
      <c r="J30" s="107"/>
      <c r="K30" s="107"/>
      <c r="L30" s="107"/>
      <c r="M30" s="107"/>
      <c r="N30" s="107"/>
      <c r="O30" s="107"/>
      <c r="P30" s="107">
        <v>1</v>
      </c>
      <c r="Q30" s="107">
        <v>1</v>
      </c>
      <c r="R30" s="107">
        <v>1</v>
      </c>
      <c r="S30" s="134"/>
      <c r="T30" s="131" t="s">
        <v>606</v>
      </c>
      <c r="U30" s="146"/>
    </row>
    <row r="31" spans="1:22" s="88" customFormat="1" ht="91.5" customHeight="1" x14ac:dyDescent="0.25">
      <c r="A31" s="120" t="s">
        <v>1200</v>
      </c>
      <c r="B31" s="465" t="s">
        <v>941</v>
      </c>
      <c r="C31" s="466" t="s">
        <v>940</v>
      </c>
      <c r="D31" s="466" t="s">
        <v>47</v>
      </c>
      <c r="E31" s="466">
        <v>1</v>
      </c>
      <c r="F31" s="120" t="s">
        <v>1275</v>
      </c>
      <c r="G31" s="115"/>
      <c r="H31" s="150"/>
      <c r="I31" s="150"/>
      <c r="J31" s="115"/>
      <c r="K31" s="115"/>
      <c r="L31" s="115"/>
      <c r="M31" s="115">
        <v>1</v>
      </c>
      <c r="N31" s="115"/>
      <c r="O31" s="115"/>
      <c r="P31" s="115"/>
      <c r="Q31" s="115"/>
      <c r="R31" s="115"/>
      <c r="S31" s="137"/>
      <c r="T31" s="135" t="s">
        <v>606</v>
      </c>
      <c r="U31" s="143"/>
    </row>
    <row r="32" spans="1:22" s="88" customFormat="1" ht="75" x14ac:dyDescent="0.25">
      <c r="A32" s="105" t="s">
        <v>1201</v>
      </c>
      <c r="B32" s="470" t="s">
        <v>942</v>
      </c>
      <c r="C32" s="468" t="s">
        <v>943</v>
      </c>
      <c r="D32" s="468" t="s">
        <v>18</v>
      </c>
      <c r="E32" s="468">
        <v>1</v>
      </c>
      <c r="F32" s="105" t="s">
        <v>1276</v>
      </c>
      <c r="G32" s="107"/>
      <c r="H32" s="239"/>
      <c r="I32" s="239"/>
      <c r="J32" s="107"/>
      <c r="K32" s="107"/>
      <c r="L32" s="107"/>
      <c r="M32" s="107"/>
      <c r="N32" s="107"/>
      <c r="O32" s="107"/>
      <c r="P32" s="107"/>
      <c r="Q32" s="107">
        <v>1</v>
      </c>
      <c r="R32" s="107"/>
      <c r="S32" s="134"/>
      <c r="T32" s="131" t="s">
        <v>606</v>
      </c>
      <c r="U32" s="146"/>
    </row>
    <row r="33" spans="1:21" ht="15.75" x14ac:dyDescent="0.25">
      <c r="A33" s="844" t="s">
        <v>229</v>
      </c>
      <c r="B33" s="844"/>
      <c r="C33" s="844"/>
      <c r="D33" s="844"/>
      <c r="E33" s="844"/>
      <c r="F33" s="844"/>
      <c r="G33" s="844"/>
      <c r="H33" s="844"/>
      <c r="I33" s="844"/>
      <c r="J33" s="844"/>
      <c r="K33" s="844"/>
      <c r="L33" s="844"/>
      <c r="M33" s="844"/>
      <c r="N33" s="844"/>
      <c r="O33" s="844"/>
      <c r="P33" s="844"/>
      <c r="Q33" s="844"/>
      <c r="R33" s="844"/>
      <c r="S33" s="123">
        <f>SUM(S18:S29)</f>
        <v>600000</v>
      </c>
      <c r="T33" s="538"/>
      <c r="U33" s="124"/>
    </row>
    <row r="34" spans="1:21" ht="15.75" x14ac:dyDescent="0.25">
      <c r="A34" s="101"/>
      <c r="B34" s="126"/>
      <c r="C34" s="101"/>
      <c r="D34" s="101"/>
      <c r="E34" s="103"/>
      <c r="F34" s="101"/>
      <c r="G34" s="101"/>
      <c r="H34" s="101"/>
      <c r="I34" s="101"/>
      <c r="J34" s="101"/>
      <c r="K34" s="101"/>
      <c r="L34" s="101"/>
      <c r="M34" s="101"/>
      <c r="N34" s="101"/>
      <c r="O34" s="101"/>
      <c r="P34" s="101"/>
      <c r="Q34" s="101"/>
      <c r="R34" s="101"/>
      <c r="S34" s="127"/>
      <c r="T34" s="103"/>
      <c r="U34" s="101"/>
    </row>
    <row r="35" spans="1:21" ht="15.75" x14ac:dyDescent="0.25">
      <c r="A35" s="101"/>
      <c r="B35" s="126"/>
      <c r="C35" s="101"/>
      <c r="D35" s="101"/>
      <c r="E35" s="103"/>
      <c r="F35" s="101"/>
      <c r="G35" s="101"/>
      <c r="H35" s="101"/>
      <c r="I35" s="101"/>
      <c r="J35" s="101"/>
      <c r="K35" s="101"/>
      <c r="L35" s="101"/>
      <c r="M35" s="101"/>
      <c r="N35" s="101"/>
      <c r="O35" s="101"/>
      <c r="P35" s="101"/>
      <c r="Q35" s="101"/>
      <c r="R35" s="101"/>
      <c r="S35" s="127"/>
      <c r="T35" s="103"/>
      <c r="U35" s="101"/>
    </row>
    <row r="36" spans="1:21" ht="15.75" x14ac:dyDescent="0.25">
      <c r="A36" s="101"/>
      <c r="B36" s="126"/>
      <c r="C36" s="101"/>
      <c r="D36" s="101"/>
      <c r="E36" s="103"/>
      <c r="F36" s="101"/>
      <c r="G36" s="101"/>
      <c r="H36" s="101"/>
      <c r="I36" s="101"/>
      <c r="J36" s="101"/>
      <c r="K36" s="101"/>
      <c r="L36" s="101"/>
      <c r="M36" s="101"/>
      <c r="N36" s="101"/>
      <c r="O36" s="101"/>
      <c r="P36" s="101"/>
      <c r="Q36" s="101"/>
      <c r="R36" s="101"/>
      <c r="S36" s="127"/>
      <c r="T36" s="103"/>
      <c r="U36" s="101"/>
    </row>
    <row r="40" spans="1:21" ht="15.75" x14ac:dyDescent="0.25">
      <c r="B40" s="853"/>
      <c r="C40" s="853"/>
      <c r="D40" s="126"/>
      <c r="E40" s="101"/>
      <c r="F40" s="101"/>
      <c r="G40" s="853"/>
      <c r="H40" s="853"/>
      <c r="I40" s="853"/>
      <c r="J40" s="853"/>
      <c r="K40" s="853"/>
      <c r="L40" s="853"/>
      <c r="M40" s="101"/>
      <c r="N40" s="101"/>
      <c r="O40" s="101"/>
      <c r="P40" s="101"/>
      <c r="Q40" s="853"/>
      <c r="R40" s="853"/>
      <c r="S40" s="853"/>
    </row>
    <row r="41" spans="1:21" ht="15.75" x14ac:dyDescent="0.25">
      <c r="B41" s="854" t="s">
        <v>1043</v>
      </c>
      <c r="C41" s="854"/>
      <c r="D41" s="126"/>
      <c r="E41" s="101"/>
      <c r="F41" s="101"/>
      <c r="G41" s="854" t="s">
        <v>536</v>
      </c>
      <c r="H41" s="854"/>
      <c r="I41" s="854"/>
      <c r="J41" s="854"/>
      <c r="K41" s="854"/>
      <c r="L41" s="854"/>
      <c r="M41" s="101"/>
      <c r="N41" s="151"/>
      <c r="O41" s="101"/>
      <c r="P41" s="151"/>
      <c r="Q41" s="854" t="s">
        <v>537</v>
      </c>
      <c r="R41" s="854"/>
      <c r="S41" s="854"/>
    </row>
    <row r="42" spans="1:21" ht="15.75" x14ac:dyDescent="0.25">
      <c r="B42" s="851" t="s">
        <v>1044</v>
      </c>
      <c r="C42" s="851"/>
      <c r="D42" s="126"/>
      <c r="E42" s="101"/>
      <c r="F42" s="101"/>
      <c r="G42" s="852" t="s">
        <v>546</v>
      </c>
      <c r="H42" s="852"/>
      <c r="I42" s="852"/>
      <c r="J42" s="852"/>
      <c r="K42" s="852"/>
      <c r="L42" s="852"/>
      <c r="M42" s="101"/>
      <c r="N42" s="101"/>
      <c r="O42" s="101"/>
      <c r="P42" s="101"/>
      <c r="Q42" s="851" t="s">
        <v>538</v>
      </c>
      <c r="R42" s="851"/>
      <c r="S42" s="851"/>
    </row>
    <row r="43" spans="1:21" x14ac:dyDescent="0.25">
      <c r="B43" s="5"/>
      <c r="C43" s="2"/>
      <c r="D43" s="2"/>
      <c r="E43" s="5"/>
      <c r="F43" s="2"/>
      <c r="G43" s="2"/>
      <c r="H43" s="2"/>
      <c r="I43" s="2"/>
      <c r="J43" s="2"/>
      <c r="K43" s="2"/>
      <c r="L43" s="2"/>
      <c r="M43" s="2"/>
      <c r="N43" s="2"/>
      <c r="O43" s="2"/>
      <c r="P43" s="2"/>
      <c r="Q43" s="2"/>
      <c r="R43" s="2"/>
      <c r="S43" s="2"/>
    </row>
  </sheetData>
  <mergeCells count="28">
    <mergeCell ref="B42:C42"/>
    <mergeCell ref="G42:L42"/>
    <mergeCell ref="Q42:S42"/>
    <mergeCell ref="B40:C40"/>
    <mergeCell ref="G40:L40"/>
    <mergeCell ref="Q40:S40"/>
    <mergeCell ref="B41:C41"/>
    <mergeCell ref="G41:L41"/>
    <mergeCell ref="Q41:S41"/>
    <mergeCell ref="B14:U14"/>
    <mergeCell ref="A5:T5"/>
    <mergeCell ref="B12:U12"/>
    <mergeCell ref="B13:U13"/>
    <mergeCell ref="A9:U9"/>
    <mergeCell ref="A10:U10"/>
    <mergeCell ref="A33:R33"/>
    <mergeCell ref="U16:U17"/>
    <mergeCell ref="A16:A17"/>
    <mergeCell ref="B16:B17"/>
    <mergeCell ref="C16:C17"/>
    <mergeCell ref="D16:E16"/>
    <mergeCell ref="F16:F17"/>
    <mergeCell ref="G16:I16"/>
    <mergeCell ref="J16:L16"/>
    <mergeCell ref="M16:O16"/>
    <mergeCell ref="P16:R16"/>
    <mergeCell ref="S16:S17"/>
    <mergeCell ref="T16:T17"/>
  </mergeCells>
  <pageMargins left="0.23622047244094491" right="0.23622047244094491" top="0.39370078740157483" bottom="0.39370078740157483" header="0.31496062992125984" footer="0.31496062992125984"/>
  <pageSetup paperSize="5" scale="34" fitToHeight="0" orientation="landscape" r:id="rId1"/>
  <headerFooter>
    <oddFooter>&amp;CPágina &amp;P de &amp;N</oddFooter>
  </headerFooter>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341FB-0AA7-4FD0-B355-31AB479EB66A}">
  <sheetPr codeName="Sheet28"/>
  <dimension ref="C8:J31"/>
  <sheetViews>
    <sheetView workbookViewId="0">
      <selection activeCell="F28" sqref="F28"/>
    </sheetView>
  </sheetViews>
  <sheetFormatPr defaultColWidth="9.140625" defaultRowHeight="15" x14ac:dyDescent="0.25"/>
  <cols>
    <col min="3" max="3" width="58.5703125" bestFit="1" customWidth="1"/>
    <col min="4" max="4" width="21.28515625" hidden="1" customWidth="1"/>
    <col min="5" max="5" width="18.28515625" hidden="1" customWidth="1"/>
    <col min="6" max="6" width="25.28515625" customWidth="1"/>
    <col min="7" max="7" width="18.7109375" bestFit="1" customWidth="1"/>
    <col min="8" max="8" width="18.5703125" bestFit="1" customWidth="1"/>
    <col min="9" max="9" width="18.42578125" customWidth="1"/>
    <col min="10" max="10" width="19.42578125" customWidth="1"/>
  </cols>
  <sheetData>
    <row r="8" spans="3:10" x14ac:dyDescent="0.25">
      <c r="C8" s="1100" t="s">
        <v>1147</v>
      </c>
      <c r="D8" s="1100"/>
      <c r="E8" s="1100"/>
      <c r="F8" s="1100"/>
      <c r="G8" s="1100"/>
      <c r="H8" s="1100"/>
      <c r="I8" s="1100"/>
      <c r="J8" s="1100"/>
    </row>
    <row r="9" spans="3:10" x14ac:dyDescent="0.25">
      <c r="C9" s="1100"/>
      <c r="D9" s="1100"/>
      <c r="E9" s="1100"/>
      <c r="F9" s="1100"/>
      <c r="G9" s="1100"/>
      <c r="H9" s="1100"/>
      <c r="I9" s="1100"/>
      <c r="J9" s="1100"/>
    </row>
    <row r="11" spans="3:10" ht="42.75" customHeight="1" x14ac:dyDescent="0.25">
      <c r="C11" s="471" t="s">
        <v>837</v>
      </c>
      <c r="D11" s="472" t="s">
        <v>363</v>
      </c>
      <c r="E11" s="472" t="s">
        <v>864</v>
      </c>
      <c r="F11" s="472" t="s">
        <v>1344</v>
      </c>
      <c r="G11" s="472" t="s">
        <v>839</v>
      </c>
      <c r="H11" s="471" t="s">
        <v>358</v>
      </c>
      <c r="I11" s="472" t="s">
        <v>840</v>
      </c>
      <c r="J11" s="471" t="s">
        <v>846</v>
      </c>
    </row>
    <row r="12" spans="3:10" ht="15.75" customHeight="1" x14ac:dyDescent="0.25">
      <c r="C12" s="381" t="s">
        <v>1137</v>
      </c>
      <c r="D12" s="428" cm="1">
        <f t="array" ref="D12">SUMPRODUCT(IF('Presupuesto Adm. y Financie '!$C$23:$C$63="Presupuesto Nacional",'Presupuesto Adm. y Financie '!$U$23:$U$63))</f>
        <v>16580174</v>
      </c>
      <c r="E12" s="428" cm="1">
        <f t="array" ref="E12">SUMPRODUCT(IF('Presupuesto Adm. y Financie '!$C$23:$C$63="Presupuesto Nacional POA Asignado",'Presupuesto Adm. y Financie '!$U$23:$U$63))</f>
        <v>7159585</v>
      </c>
      <c r="F12" s="428">
        <f>+D12+E12</f>
        <v>23739759</v>
      </c>
      <c r="G12" s="428">
        <v>0</v>
      </c>
      <c r="H12" s="428">
        <v>0</v>
      </c>
      <c r="I12" s="428">
        <v>0</v>
      </c>
      <c r="J12" s="804">
        <f>SUM(F12:I12)</f>
        <v>23739759</v>
      </c>
    </row>
    <row r="13" spans="3:10" ht="15.75" customHeight="1" x14ac:dyDescent="0.25">
      <c r="C13" s="384" t="s">
        <v>1138</v>
      </c>
      <c r="D13" s="805">
        <v>0</v>
      </c>
      <c r="E13" s="805" cm="1">
        <f t="array" ref="E13">SUMPRODUCT(IF('Presupuesto  Análisis'!$C$21:$C$23="Presupuesto Nacional POA Asignado",'Presupuesto  Análisis'!$U$21:$U$23))</f>
        <v>600000</v>
      </c>
      <c r="F13" s="805">
        <f t="shared" ref="F13:F22" si="0">+D13+E13</f>
        <v>600000</v>
      </c>
      <c r="G13" s="805">
        <v>0</v>
      </c>
      <c r="H13" s="805">
        <v>0</v>
      </c>
      <c r="I13" s="805">
        <v>0</v>
      </c>
      <c r="J13" s="804">
        <f t="shared" ref="J13:J22" si="1">SUM(F13:I13)</f>
        <v>600000</v>
      </c>
    </row>
    <row r="14" spans="3:10" ht="15.75" customHeight="1" x14ac:dyDescent="0.25">
      <c r="C14" s="381" t="s">
        <v>1139</v>
      </c>
      <c r="D14" s="428" cm="1">
        <f t="array" ref="D14">SUMPRODUCT(IF('Presupuesto Calidad en la Gest'!$C$21:$C$26="Presupuesto Nacional",'Presupuesto Calidad en la Gest'!$U$21:$U$26))</f>
        <v>36000</v>
      </c>
      <c r="E14" s="428" cm="1">
        <f t="array" ref="E14">SUMPRODUCT(IF('Presupuesto Calidad en la Gest'!$C$21:$C$26="Presupuesto Nacional POA Asignado",'Presupuesto Calidad en la Gest'!$U$21:$U$26))</f>
        <v>1807465</v>
      </c>
      <c r="F14" s="428">
        <f t="shared" si="0"/>
        <v>1843465</v>
      </c>
      <c r="G14" s="428">
        <v>0</v>
      </c>
      <c r="H14" s="428">
        <v>0</v>
      </c>
      <c r="I14" s="428">
        <v>0</v>
      </c>
      <c r="J14" s="804">
        <f t="shared" si="1"/>
        <v>1843465</v>
      </c>
    </row>
    <row r="15" spans="3:10" ht="15.75" customHeight="1" x14ac:dyDescent="0.25">
      <c r="C15" s="384" t="s">
        <v>1140</v>
      </c>
      <c r="D15" s="805" cm="1">
        <f t="array" ref="D15">SUMPRODUCT(IF('Presupuesto Cartografía '!$C$24:$C$41="Presupuesto Nacional",'Presupuesto Cartografía '!$U$24:$U$41))</f>
        <v>1528400</v>
      </c>
      <c r="E15" s="805" cm="1">
        <f t="array" ref="E15">SUMPRODUCT(IF('Presupuesto Cartografía '!$C$24:$C$41="Presupuesto Nacional POA Asignado",'Presupuesto Cartografía '!$U$24:$U$41))</f>
        <v>521000</v>
      </c>
      <c r="F15" s="805">
        <f t="shared" si="0"/>
        <v>2049400</v>
      </c>
      <c r="G15" s="805">
        <v>0</v>
      </c>
      <c r="H15" s="805">
        <v>0</v>
      </c>
      <c r="I15" s="805">
        <v>0</v>
      </c>
      <c r="J15" s="804">
        <f t="shared" si="1"/>
        <v>2049400</v>
      </c>
    </row>
    <row r="16" spans="3:10" ht="15.75" customHeight="1" x14ac:dyDescent="0.25">
      <c r="C16" s="381" t="s">
        <v>1141</v>
      </c>
      <c r="D16" s="428" cm="1">
        <f t="array" ref="D16">SUMPRODUCT(IF('Presupuesto Comunicaciones '!$C$24:$C$76="Presupuesto Nacional",'Presupuesto Comunicaciones '!$U$24:$U$76))</f>
        <v>60100</v>
      </c>
      <c r="E16" s="428" cm="1">
        <f t="array" ref="E16">SUMPRODUCT(IF('Presupuesto Comunicaciones '!$C$24:$C$76="Presupuesto Nacional POA Asignado",'Presupuesto Comunicaciones '!$U$24:$U$76))</f>
        <v>655750</v>
      </c>
      <c r="F16" s="428">
        <f t="shared" si="0"/>
        <v>715850</v>
      </c>
      <c r="G16" s="428">
        <v>0</v>
      </c>
      <c r="H16" s="428">
        <v>0</v>
      </c>
      <c r="I16" s="428">
        <v>0</v>
      </c>
      <c r="J16" s="804">
        <f t="shared" si="1"/>
        <v>715850</v>
      </c>
    </row>
    <row r="17" spans="3:10" ht="15.75" customHeight="1" x14ac:dyDescent="0.25">
      <c r="C17" s="384" t="s">
        <v>1142</v>
      </c>
      <c r="D17" s="805" cm="1">
        <f t="array" ref="D17">SUMPRODUCT(IF('Presupuesto Operaciones'!$C$20:$C$34="Presupuesto Nacional",'Presupuesto Operaciones'!$U$20:$U$34))</f>
        <v>553800</v>
      </c>
      <c r="E17" s="805" cm="1">
        <f t="array" ref="E17">SUMPRODUCT(IF('Presupuesto Operaciones'!$C$20:$C$34="Presupuesto Nacional POA Asignado",'Presupuesto Operaciones'!$U$20:$U$34))</f>
        <v>1162730</v>
      </c>
      <c r="F17" s="805">
        <f t="shared" si="0"/>
        <v>1716530</v>
      </c>
      <c r="G17" s="805" cm="1">
        <f t="array" ref="G17">SUMPRODUCT(IF('Presupuesto Adm. y Financie '!$C$23:$C$63="Banco Mundial ",'Presupuesto Adm. y Financie '!$U$23:$U$63))</f>
        <v>0</v>
      </c>
      <c r="H17" s="805" cm="1">
        <f t="array" ref="H17">SUMPRODUCT(IF('Presupuesto Adm. y Financie '!$C$23:$C$63="BID",'Presupuesto Adm. y Financie '!$U$23:$U$63))</f>
        <v>0</v>
      </c>
      <c r="I17" s="805" cm="1">
        <f t="array" ref="I17">SUMPRODUCT(IF('Presupuesto Adm. y Financie '!$C$23:$C$63="Cooperación Francesa",'Presupuesto Adm. y Financie '!$U$23:$U$63))</f>
        <v>0</v>
      </c>
      <c r="J17" s="804">
        <f t="shared" si="1"/>
        <v>1716530</v>
      </c>
    </row>
    <row r="18" spans="3:10" ht="15.75" customHeight="1" x14ac:dyDescent="0.25">
      <c r="C18" s="381" t="s">
        <v>1143</v>
      </c>
      <c r="D18" s="428" cm="1">
        <f t="array" ref="D18">SUMPRODUCT(IF('Presupuesto Planificación y D'!$C$20:$C$37="Presupuesto Nacional",'Presupuesto Planificación y D'!$U$20:$U$37))</f>
        <v>12000</v>
      </c>
      <c r="E18" s="428" cm="1">
        <f t="array" ref="E18">SUMPRODUCT(IF('Presupuesto Planificación y D'!$C$20:$C$37="Presupuesto Nacional POA Asignado",'Presupuesto Planificación y D'!$U$20:$U$37))</f>
        <v>388000.00333333341</v>
      </c>
      <c r="F18" s="428">
        <f t="shared" si="0"/>
        <v>400000.00333333341</v>
      </c>
      <c r="G18" s="428">
        <v>0</v>
      </c>
      <c r="H18" s="428">
        <v>0</v>
      </c>
      <c r="I18" s="428">
        <v>0</v>
      </c>
      <c r="J18" s="804">
        <f t="shared" si="1"/>
        <v>400000.00333333341</v>
      </c>
    </row>
    <row r="19" spans="3:10" ht="15.75" customHeight="1" x14ac:dyDescent="0.25">
      <c r="C19" s="384" t="s">
        <v>1144</v>
      </c>
      <c r="D19" s="805" cm="1">
        <f t="array" ref="D19">SUMPRODUCT(IF('Presupuesto Recursos Humanos'!$C$24:$C$59="Presupuesto Nacional",'Presupuesto Recursos Humanos'!$U$24:$U$59))</f>
        <v>29856000</v>
      </c>
      <c r="E19" s="805" cm="1">
        <f t="array" ref="E19">SUMPRODUCT(IF('Presupuesto Recursos Humanos'!$C$24:$C$59="Presupuesto Nacional POA Asignado",'Presupuesto Recursos Humanos'!$U$24:$U$59))</f>
        <v>3019670</v>
      </c>
      <c r="F19" s="805">
        <f t="shared" si="0"/>
        <v>32875670</v>
      </c>
      <c r="G19" s="805" cm="1">
        <f t="array" ref="G19">SUMPRODUCT(IF('Presupuesto Adm. y Financie '!$C$23:$C$63="Banco Mundial ",'Presupuesto Adm. y Financie '!$U$23:$U$63))</f>
        <v>0</v>
      </c>
      <c r="H19" s="805" cm="1">
        <f t="array" ref="H19">SUMPRODUCT(IF('Presupuesto Adm. y Financie '!$C$23:$C$63="BID",'Presupuesto Adm. y Financie '!$U$23:$U$63))</f>
        <v>0</v>
      </c>
      <c r="I19" s="805" cm="1">
        <f t="array" ref="I19">SUMPRODUCT(IF('Presupuesto Adm. y Financie '!$C$23:$C$63="Cooperación Francesa",'Presupuesto Adm. y Financie '!$U$23:$U$63))</f>
        <v>0</v>
      </c>
      <c r="J19" s="804">
        <f t="shared" si="1"/>
        <v>32875670</v>
      </c>
    </row>
    <row r="20" spans="3:10" ht="15.75" customHeight="1" x14ac:dyDescent="0.25">
      <c r="C20" s="384" t="s">
        <v>1348</v>
      </c>
      <c r="D20" s="805"/>
      <c r="E20" s="805"/>
      <c r="F20" s="805">
        <v>200000</v>
      </c>
      <c r="G20" s="805"/>
      <c r="H20" s="805"/>
      <c r="I20" s="805"/>
      <c r="J20" s="804"/>
    </row>
    <row r="21" spans="3:10" ht="15.75" customHeight="1" x14ac:dyDescent="0.25">
      <c r="C21" s="381" t="s">
        <v>1145</v>
      </c>
      <c r="D21" s="428" cm="1">
        <f t="array" ref="D21">SUMPRODUCT(IF('Presupuesto Revisión y Control '!$C$20:$C$22="Presupuesto Nacional",'Presupuesto Revisión y Control '!$U$20:$U$22))</f>
        <v>513900</v>
      </c>
      <c r="E21" s="428" cm="1">
        <f t="array" ref="E21">SUMPRODUCT(IF('Presupuesto Revisión y Control '!$C$20:$C$22="Presupuesto Nacional POA Asignado",'Presupuesto Revisión y Control '!$U$20:$U$22))</f>
        <v>0</v>
      </c>
      <c r="F21" s="428">
        <f t="shared" si="0"/>
        <v>513900</v>
      </c>
      <c r="G21" s="428" cm="1">
        <f t="array" ref="G21">SUMPRODUCT(IF('Presupuesto Revisión y Control '!$C$20:$C$22="Banco Mundial ",'Presupuesto Revisión y Control '!$U$20:$U$22))</f>
        <v>0</v>
      </c>
      <c r="H21" s="428" cm="1">
        <f t="array" ref="H21">SUMPRODUCT(IF('Presupuesto Revisión y Control '!$C$20:$C$22="BID",'Presupuesto Revisión y Control '!$U$20:$U$22))</f>
        <v>1200000</v>
      </c>
      <c r="I21" s="428" cm="1">
        <f t="array" ref="I21">SUMPRODUCT(IF('Presupuesto Adm. y Financie '!$C$23:$C$63="Cooperación Francesa",'Presupuesto Adm. y Financie '!$U$23:$U$63))</f>
        <v>0</v>
      </c>
      <c r="J21" s="804">
        <f t="shared" si="1"/>
        <v>1713900</v>
      </c>
    </row>
    <row r="22" spans="3:10" ht="15.75" customHeight="1" x14ac:dyDescent="0.25">
      <c r="C22" s="384" t="s">
        <v>1146</v>
      </c>
      <c r="D22" s="805" cm="1">
        <f t="array" ref="D22">SUMPRODUCT(IF('Presupuesto TIC '!$C$26:$C$87="Presupuesto Nacional",'Presupuesto TIC '!$U$26:$U$87))</f>
        <v>3172820</v>
      </c>
      <c r="E22" s="805" cm="1">
        <f t="array" ref="E22">SUMPRODUCT(IF('Presupuesto TIC '!$C$26:$C$87="Presupuesto Nacional POA Asignado",'Presupuesto TIC '!$U$26:$U$87))</f>
        <v>999180</v>
      </c>
      <c r="F22" s="805">
        <f t="shared" si="0"/>
        <v>4172000</v>
      </c>
      <c r="G22" s="805" cm="1">
        <f t="array" ref="G22">SUMPRODUCT(IF('Presupuesto TIC '!$C$26:$C$87="Banco Mundial",'Presupuesto TIC '!$U$26:$U$87))</f>
        <v>27009264.947684214</v>
      </c>
      <c r="H22" s="805" cm="1">
        <f t="array" ref="H22">SUMPRODUCT(IF('Presupuesto TIC '!$C$26:$C$87="BID",'Presupuesto TIC '!$U$26:$U$87))</f>
        <v>97449763.200000003</v>
      </c>
      <c r="I22" s="805" cm="1">
        <f t="array" ref="I22">SUMPRODUCT(IF('Presupuesto TIC '!$C$26:$C$87="Cooperación Francesa",'Presupuesto TIC '!$U$26:$U$87))</f>
        <v>5920120</v>
      </c>
      <c r="J22" s="804">
        <f t="shared" si="1"/>
        <v>134551148.14768422</v>
      </c>
    </row>
    <row r="23" spans="3:10" x14ac:dyDescent="0.25">
      <c r="C23" s="473" t="s">
        <v>846</v>
      </c>
      <c r="D23" s="474">
        <f>SUM(D12:D22)</f>
        <v>52313194</v>
      </c>
      <c r="E23" s="474">
        <f>SUM(E12:E22)</f>
        <v>16313380.003333334</v>
      </c>
      <c r="F23" s="474">
        <f>SUM(F12:F22)</f>
        <v>68826574.00333333</v>
      </c>
      <c r="G23" s="806">
        <f>SUM(G12:G22)</f>
        <v>27009264.947684214</v>
      </c>
      <c r="H23" s="474">
        <f>SUM(H12:H22)</f>
        <v>98649763.200000003</v>
      </c>
      <c r="I23" s="474">
        <f>SUM(I12:I22)</f>
        <v>5920120</v>
      </c>
      <c r="J23" s="474">
        <f>SUM(J12:J22)</f>
        <v>200205722.15101755</v>
      </c>
    </row>
    <row r="25" spans="3:10" x14ac:dyDescent="0.25">
      <c r="C25" s="1101" t="s">
        <v>1345</v>
      </c>
      <c r="D25" s="1101"/>
      <c r="E25" s="1101"/>
      <c r="F25" s="1101"/>
      <c r="G25" s="1101"/>
    </row>
    <row r="26" spans="3:10" x14ac:dyDescent="0.25">
      <c r="C26" s="810" t="s">
        <v>1346</v>
      </c>
      <c r="D26" s="810"/>
      <c r="E26" s="810"/>
      <c r="F26" s="810" t="s">
        <v>1347</v>
      </c>
      <c r="G26" s="810" t="s">
        <v>855</v>
      </c>
    </row>
    <row r="27" spans="3:10" x14ac:dyDescent="0.25">
      <c r="C27" s="381" t="s">
        <v>1344</v>
      </c>
      <c r="D27" s="428"/>
      <c r="E27" s="428"/>
      <c r="F27" s="428">
        <f>+F23</f>
        <v>68826574.00333333</v>
      </c>
      <c r="G27" s="808">
        <f>+F27/$F$31*1</f>
        <v>0.34343617170505963</v>
      </c>
    </row>
    <row r="28" spans="3:10" x14ac:dyDescent="0.25">
      <c r="C28" s="384" t="s">
        <v>839</v>
      </c>
      <c r="D28" s="805"/>
      <c r="E28" s="805"/>
      <c r="F28" s="805">
        <v>27009264.947684214</v>
      </c>
      <c r="G28" s="809">
        <f t="shared" ref="G28:G30" si="2">+F28/$F$31*1</f>
        <v>0.13477292293745555</v>
      </c>
    </row>
    <row r="29" spans="3:10" x14ac:dyDescent="0.25">
      <c r="C29" s="381" t="s">
        <v>358</v>
      </c>
      <c r="D29" s="428"/>
      <c r="E29" s="428"/>
      <c r="F29" s="428">
        <v>98649763.200000003</v>
      </c>
      <c r="G29" s="808">
        <f t="shared" si="2"/>
        <v>0.49225023188540284</v>
      </c>
    </row>
    <row r="30" spans="3:10" x14ac:dyDescent="0.25">
      <c r="C30" s="384" t="s">
        <v>840</v>
      </c>
      <c r="D30" s="805"/>
      <c r="E30" s="805"/>
      <c r="F30" s="805">
        <v>5920120</v>
      </c>
      <c r="G30" s="809">
        <f t="shared" si="2"/>
        <v>2.9540673472081998E-2</v>
      </c>
    </row>
    <row r="31" spans="3:10" x14ac:dyDescent="0.25">
      <c r="C31" s="381" t="s">
        <v>846</v>
      </c>
      <c r="D31" s="428"/>
      <c r="E31" s="428"/>
      <c r="F31" s="428">
        <f>SUM(F27:F30)</f>
        <v>200405722.15101755</v>
      </c>
      <c r="G31" s="85"/>
    </row>
  </sheetData>
  <mergeCells count="2">
    <mergeCell ref="C8:J9"/>
    <mergeCell ref="C25:G2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A23A7-7EF0-4ED7-A1DD-54E5566A4FFF}">
  <sheetPr codeName="Sheet4">
    <pageSetUpPr fitToPage="1"/>
  </sheetPr>
  <dimension ref="A11:BE35"/>
  <sheetViews>
    <sheetView workbookViewId="0"/>
  </sheetViews>
  <sheetFormatPr defaultColWidth="11.42578125" defaultRowHeight="14.25" x14ac:dyDescent="0.2"/>
  <cols>
    <col min="1" max="1" width="43.42578125" style="2" customWidth="1"/>
    <col min="2" max="2" width="70.28515625" style="24" customWidth="1"/>
    <col min="3" max="3" width="24.42578125" style="2" customWidth="1"/>
    <col min="4" max="4" width="26.7109375" style="2" customWidth="1"/>
    <col min="5" max="5" width="19.42578125" style="2" customWidth="1"/>
    <col min="6" max="7" width="17.42578125" style="2" customWidth="1"/>
    <col min="8" max="8" width="19.7109375" style="14" customWidth="1"/>
    <col min="9" max="9" width="16.140625" style="2" bestFit="1" customWidth="1"/>
    <col min="10" max="10" width="17.42578125" style="2" bestFit="1" customWidth="1"/>
    <col min="11" max="11" width="18.42578125" style="2" bestFit="1" customWidth="1"/>
    <col min="12" max="12" width="17.28515625" style="2" customWidth="1"/>
    <col min="13" max="13" width="17.42578125" style="2" bestFit="1" customWidth="1"/>
    <col min="14" max="14" width="20.28515625" style="2" customWidth="1"/>
    <col min="15" max="15" width="16.140625" style="2" customWidth="1"/>
    <col min="16" max="16" width="19.42578125" style="2" customWidth="1"/>
    <col min="17" max="19" width="19.28515625" style="2" customWidth="1"/>
    <col min="20" max="20" width="16.140625" style="2" customWidth="1"/>
    <col min="21" max="21" width="22.140625" style="2" bestFit="1" customWidth="1"/>
    <col min="22" max="22" width="26.140625" style="2" customWidth="1"/>
    <col min="23" max="16384" width="11.42578125" style="2"/>
  </cols>
  <sheetData>
    <row r="11" spans="1:22" ht="28.5" customHeight="1" x14ac:dyDescent="0.3">
      <c r="A11" s="850" t="s">
        <v>230</v>
      </c>
      <c r="B11" s="850"/>
      <c r="C11" s="850"/>
      <c r="D11" s="850"/>
      <c r="E11" s="850"/>
      <c r="F11" s="850"/>
      <c r="G11" s="850"/>
      <c r="H11" s="850"/>
      <c r="I11" s="850"/>
      <c r="J11" s="850"/>
      <c r="K11" s="850"/>
      <c r="L11" s="850"/>
      <c r="M11" s="850"/>
      <c r="N11" s="850"/>
      <c r="O11" s="850"/>
      <c r="P11" s="850"/>
      <c r="Q11" s="850"/>
      <c r="R11" s="850"/>
      <c r="S11" s="850"/>
      <c r="T11" s="850"/>
      <c r="U11" s="850"/>
      <c r="V11" s="850"/>
    </row>
    <row r="12" spans="1:22" ht="22.5" x14ac:dyDescent="0.3">
      <c r="A12" s="850" t="s">
        <v>1</v>
      </c>
      <c r="B12" s="850"/>
      <c r="C12" s="850"/>
      <c r="D12" s="850"/>
      <c r="E12" s="850"/>
      <c r="F12" s="850"/>
      <c r="G12" s="850"/>
      <c r="H12" s="850"/>
      <c r="I12" s="850"/>
      <c r="J12" s="850"/>
      <c r="K12" s="850"/>
      <c r="L12" s="850"/>
      <c r="M12" s="850"/>
      <c r="N12" s="850"/>
      <c r="O12" s="850"/>
      <c r="P12" s="850"/>
      <c r="Q12" s="850"/>
      <c r="R12" s="850"/>
      <c r="S12" s="850"/>
      <c r="T12" s="850"/>
      <c r="U12" s="850"/>
      <c r="V12" s="850"/>
    </row>
    <row r="13" spans="1:22" ht="22.5" x14ac:dyDescent="0.3">
      <c r="A13" s="850" t="s">
        <v>42</v>
      </c>
      <c r="B13" s="850"/>
      <c r="C13" s="850"/>
      <c r="D13" s="850"/>
      <c r="E13" s="850"/>
      <c r="F13" s="850"/>
      <c r="G13" s="850"/>
      <c r="H13" s="850"/>
      <c r="I13" s="850"/>
      <c r="J13" s="850"/>
      <c r="K13" s="850"/>
      <c r="L13" s="850"/>
      <c r="M13" s="850"/>
      <c r="N13" s="850"/>
      <c r="O13" s="850"/>
      <c r="P13" s="850"/>
      <c r="Q13" s="850"/>
      <c r="R13" s="850"/>
      <c r="S13" s="850"/>
      <c r="T13" s="850"/>
      <c r="U13" s="850"/>
      <c r="V13" s="850"/>
    </row>
    <row r="14" spans="1:22" ht="22.5" x14ac:dyDescent="0.3">
      <c r="A14" s="99"/>
      <c r="B14" s="99"/>
      <c r="C14" s="99"/>
      <c r="D14" s="99"/>
      <c r="E14" s="99"/>
      <c r="F14" s="99"/>
      <c r="G14" s="99"/>
      <c r="H14" s="99"/>
      <c r="I14" s="99"/>
      <c r="J14" s="99"/>
      <c r="K14" s="99"/>
      <c r="L14" s="99"/>
      <c r="M14" s="99"/>
      <c r="N14" s="99"/>
      <c r="O14" s="99"/>
      <c r="P14" s="99"/>
      <c r="Q14" s="99"/>
      <c r="R14" s="99"/>
      <c r="S14" s="99"/>
      <c r="T14" s="99"/>
      <c r="U14" s="99"/>
      <c r="V14" s="99"/>
    </row>
    <row r="15" spans="1:22" ht="15" x14ac:dyDescent="0.2">
      <c r="A15" s="100" t="s">
        <v>282</v>
      </c>
      <c r="B15" s="848" t="s">
        <v>318</v>
      </c>
      <c r="C15" s="848"/>
      <c r="D15" s="848"/>
      <c r="E15" s="848"/>
      <c r="F15" s="848"/>
      <c r="G15" s="848"/>
      <c r="H15" s="848"/>
      <c r="I15" s="848"/>
      <c r="J15" s="848"/>
      <c r="K15" s="848"/>
      <c r="L15" s="848"/>
      <c r="M15" s="848"/>
      <c r="N15" s="848"/>
      <c r="O15" s="848"/>
      <c r="P15" s="848"/>
      <c r="Q15" s="848"/>
      <c r="R15" s="848"/>
      <c r="S15" s="848"/>
      <c r="T15" s="848"/>
      <c r="U15" s="848"/>
      <c r="V15" s="848"/>
    </row>
    <row r="16" spans="1:22" ht="15" x14ac:dyDescent="0.2">
      <c r="A16" s="100" t="s">
        <v>186</v>
      </c>
      <c r="B16" s="848" t="s">
        <v>319</v>
      </c>
      <c r="C16" s="848"/>
      <c r="D16" s="848"/>
      <c r="E16" s="848"/>
      <c r="F16" s="848"/>
      <c r="G16" s="848"/>
      <c r="H16" s="848"/>
      <c r="I16" s="848"/>
      <c r="J16" s="848"/>
      <c r="K16" s="848"/>
      <c r="L16" s="848"/>
      <c r="M16" s="848"/>
      <c r="N16" s="848"/>
      <c r="O16" s="848"/>
      <c r="P16" s="848"/>
      <c r="Q16" s="848"/>
      <c r="R16" s="848"/>
      <c r="S16" s="848"/>
      <c r="T16" s="848"/>
      <c r="U16" s="848"/>
      <c r="V16" s="848"/>
    </row>
    <row r="17" spans="1:57" ht="15" x14ac:dyDescent="0.2">
      <c r="A17" s="100" t="s">
        <v>188</v>
      </c>
      <c r="B17" s="848" t="s">
        <v>320</v>
      </c>
      <c r="C17" s="848"/>
      <c r="D17" s="848"/>
      <c r="E17" s="848"/>
      <c r="F17" s="848"/>
      <c r="G17" s="848"/>
      <c r="H17" s="848"/>
      <c r="I17" s="848"/>
      <c r="J17" s="848"/>
      <c r="K17" s="848"/>
      <c r="L17" s="848"/>
      <c r="M17" s="848"/>
      <c r="N17" s="848"/>
      <c r="O17" s="848"/>
      <c r="P17" s="848"/>
      <c r="Q17" s="848"/>
      <c r="R17" s="848"/>
      <c r="S17" s="848"/>
      <c r="T17" s="848"/>
      <c r="U17" s="848"/>
      <c r="V17" s="848"/>
    </row>
    <row r="18" spans="1:57" ht="15" x14ac:dyDescent="0.2">
      <c r="A18" s="101"/>
      <c r="B18" s="102"/>
      <c r="C18" s="101"/>
      <c r="D18" s="101"/>
      <c r="E18" s="101"/>
      <c r="F18" s="101"/>
      <c r="G18" s="101"/>
      <c r="H18" s="103"/>
      <c r="I18" s="101"/>
      <c r="J18" s="101"/>
      <c r="K18" s="101"/>
      <c r="L18" s="101"/>
      <c r="M18" s="101"/>
      <c r="N18" s="101"/>
      <c r="O18" s="101"/>
      <c r="P18" s="101"/>
      <c r="Q18" s="101"/>
      <c r="R18" s="101"/>
      <c r="S18" s="101"/>
      <c r="T18" s="101"/>
      <c r="U18" s="101"/>
      <c r="V18" s="101"/>
    </row>
    <row r="19" spans="1:57" ht="18.75" customHeight="1" x14ac:dyDescent="0.2">
      <c r="A19" s="845" t="s">
        <v>6</v>
      </c>
      <c r="B19" s="845" t="s">
        <v>10</v>
      </c>
      <c r="C19" s="845" t="s">
        <v>43</v>
      </c>
      <c r="D19" s="845" t="s">
        <v>44</v>
      </c>
      <c r="E19" s="856" t="s">
        <v>45</v>
      </c>
      <c r="F19" s="845" t="s">
        <v>46</v>
      </c>
      <c r="G19" s="845" t="s">
        <v>47</v>
      </c>
      <c r="H19" s="845" t="s">
        <v>231</v>
      </c>
      <c r="I19" s="847" t="s">
        <v>11</v>
      </c>
      <c r="J19" s="847"/>
      <c r="K19" s="847"/>
      <c r="L19" s="847" t="s">
        <v>12</v>
      </c>
      <c r="M19" s="847"/>
      <c r="N19" s="847"/>
      <c r="O19" s="847" t="s">
        <v>13</v>
      </c>
      <c r="P19" s="847"/>
      <c r="Q19" s="847"/>
      <c r="R19" s="847" t="s">
        <v>14</v>
      </c>
      <c r="S19" s="847"/>
      <c r="T19" s="847"/>
      <c r="U19" s="845" t="s">
        <v>15</v>
      </c>
      <c r="V19" s="845" t="s">
        <v>232</v>
      </c>
    </row>
    <row r="20" spans="1:57" s="4" customFormat="1" ht="32.25" customHeight="1" x14ac:dyDescent="0.25">
      <c r="A20" s="845"/>
      <c r="B20" s="845"/>
      <c r="C20" s="845"/>
      <c r="D20" s="845"/>
      <c r="E20" s="857"/>
      <c r="F20" s="845"/>
      <c r="G20" s="845"/>
      <c r="H20" s="845"/>
      <c r="I20" s="96" t="s">
        <v>19</v>
      </c>
      <c r="J20" s="96" t="s">
        <v>20</v>
      </c>
      <c r="K20" s="96" t="s">
        <v>21</v>
      </c>
      <c r="L20" s="96" t="s">
        <v>22</v>
      </c>
      <c r="M20" s="96" t="s">
        <v>23</v>
      </c>
      <c r="N20" s="96" t="s">
        <v>24</v>
      </c>
      <c r="O20" s="96" t="s">
        <v>25</v>
      </c>
      <c r="P20" s="96" t="s">
        <v>26</v>
      </c>
      <c r="Q20" s="96" t="s">
        <v>27</v>
      </c>
      <c r="R20" s="96" t="s">
        <v>28</v>
      </c>
      <c r="S20" s="96" t="s">
        <v>29</v>
      </c>
      <c r="T20" s="96" t="s">
        <v>30</v>
      </c>
      <c r="U20" s="845"/>
      <c r="V20" s="845"/>
    </row>
    <row r="21" spans="1:57" ht="207.75" customHeight="1" x14ac:dyDescent="0.2">
      <c r="A21" s="104" t="str">
        <f>'POA Análisis '!A18</f>
        <v xml:space="preserve">1. Documento Guía de Variables y Reglas de Interoperabilidad </v>
      </c>
      <c r="B21" s="105" t="s">
        <v>666</v>
      </c>
      <c r="C21" s="106" t="s">
        <v>486</v>
      </c>
      <c r="D21" s="107" t="s">
        <v>648</v>
      </c>
      <c r="E21" s="107" t="s">
        <v>55</v>
      </c>
      <c r="F21" s="108" t="s">
        <v>128</v>
      </c>
      <c r="G21" s="109">
        <v>1</v>
      </c>
      <c r="H21" s="108">
        <v>400000</v>
      </c>
      <c r="I21" s="108">
        <v>0</v>
      </c>
      <c r="J21" s="108">
        <v>0</v>
      </c>
      <c r="K21" s="108">
        <v>0</v>
      </c>
      <c r="L21" s="108">
        <v>0</v>
      </c>
      <c r="M21" s="108">
        <v>0</v>
      </c>
      <c r="N21" s="108">
        <v>0</v>
      </c>
      <c r="O21" s="108">
        <v>0</v>
      </c>
      <c r="P21" s="108">
        <v>100000</v>
      </c>
      <c r="Q21" s="108">
        <v>100000</v>
      </c>
      <c r="R21" s="108">
        <v>100000</v>
      </c>
      <c r="S21" s="108">
        <v>100000</v>
      </c>
      <c r="T21" s="108">
        <v>0</v>
      </c>
      <c r="U21" s="129">
        <f>SUM(I21:T21)</f>
        <v>400000</v>
      </c>
      <c r="V21" s="111" t="s">
        <v>649</v>
      </c>
    </row>
    <row r="22" spans="1:57" s="21" customFormat="1" ht="105" x14ac:dyDescent="0.2">
      <c r="A22" s="112" t="str">
        <f>'POA Análisis '!A20</f>
        <v>3. Capacitación del equipo de la Dirección de Análisis sobre los nuevos índices:
3a. Siuben 3
3b. IVACC
3c. Modelo de ingresos
3d. IPT</v>
      </c>
      <c r="B22" s="113" t="s">
        <v>560</v>
      </c>
      <c r="C22" s="114" t="s">
        <v>486</v>
      </c>
      <c r="D22" s="115" t="s">
        <v>246</v>
      </c>
      <c r="E22" s="115" t="s">
        <v>238</v>
      </c>
      <c r="F22" s="115" t="s">
        <v>18</v>
      </c>
      <c r="G22" s="116">
        <v>4</v>
      </c>
      <c r="H22" s="117">
        <v>22400</v>
      </c>
      <c r="I22" s="118">
        <v>0</v>
      </c>
      <c r="J22" s="117">
        <f>+$H$22</f>
        <v>22400</v>
      </c>
      <c r="K22" s="117">
        <f t="shared" ref="K22:M22" si="0">+$H$22</f>
        <v>22400</v>
      </c>
      <c r="L22" s="117">
        <f t="shared" si="0"/>
        <v>22400</v>
      </c>
      <c r="M22" s="117">
        <f t="shared" si="0"/>
        <v>22400</v>
      </c>
      <c r="N22" s="117"/>
      <c r="O22" s="118"/>
      <c r="P22" s="118"/>
      <c r="Q22" s="118"/>
      <c r="R22" s="118"/>
      <c r="S22" s="118"/>
      <c r="T22" s="118"/>
      <c r="U22" s="130">
        <f>SUM(I22:T22)</f>
        <v>89600</v>
      </c>
      <c r="V22" s="119" t="s">
        <v>650</v>
      </c>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0"/>
    </row>
    <row r="23" spans="1:57" ht="180" x14ac:dyDescent="0.2">
      <c r="A23" s="104" t="str">
        <f>'POA Análisis '!A25</f>
        <v>8. Socialización de resultados de estudios y notas técnicas transversalizando el enfoque de género.</v>
      </c>
      <c r="B23" s="105" t="s">
        <v>651</v>
      </c>
      <c r="C23" s="152" t="s">
        <v>486</v>
      </c>
      <c r="D23" s="108" t="s">
        <v>246</v>
      </c>
      <c r="E23" s="108" t="s">
        <v>238</v>
      </c>
      <c r="F23" s="108" t="s">
        <v>18</v>
      </c>
      <c r="G23" s="109">
        <v>3</v>
      </c>
      <c r="H23" s="110"/>
      <c r="I23" s="108">
        <v>0</v>
      </c>
      <c r="J23" s="108">
        <v>0</v>
      </c>
      <c r="K23" s="108">
        <v>0</v>
      </c>
      <c r="L23" s="108">
        <v>0</v>
      </c>
      <c r="M23" s="108">
        <v>0</v>
      </c>
      <c r="N23" s="108">
        <v>0</v>
      </c>
      <c r="O23" s="108">
        <v>0</v>
      </c>
      <c r="P23" s="108">
        <v>0</v>
      </c>
      <c r="Q23" s="108">
        <v>0</v>
      </c>
      <c r="R23" s="108">
        <v>0</v>
      </c>
      <c r="S23" s="153">
        <f>U23</f>
        <v>110400</v>
      </c>
      <c r="T23" s="108">
        <v>0</v>
      </c>
      <c r="U23" s="129">
        <f>'POA Análisis '!S25</f>
        <v>110400</v>
      </c>
      <c r="V23" s="111" t="s">
        <v>667</v>
      </c>
    </row>
    <row r="24" spans="1:57" ht="15" x14ac:dyDescent="0.2">
      <c r="A24" s="855" t="s">
        <v>281</v>
      </c>
      <c r="B24" s="855"/>
      <c r="C24" s="855"/>
      <c r="D24" s="855"/>
      <c r="E24" s="855"/>
      <c r="F24" s="855"/>
      <c r="G24" s="855"/>
      <c r="H24" s="123">
        <f t="shared" ref="H24" si="1">+SUM(H21:H22)</f>
        <v>422400</v>
      </c>
      <c r="I24" s="123">
        <f>+SUM(I21:I23)</f>
        <v>0</v>
      </c>
      <c r="J24" s="123">
        <f t="shared" ref="J24:T24" si="2">+SUM(J21:J23)</f>
        <v>22400</v>
      </c>
      <c r="K24" s="123">
        <f t="shared" si="2"/>
        <v>22400</v>
      </c>
      <c r="L24" s="123">
        <f t="shared" si="2"/>
        <v>22400</v>
      </c>
      <c r="M24" s="123">
        <f t="shared" si="2"/>
        <v>22400</v>
      </c>
      <c r="N24" s="123">
        <f t="shared" si="2"/>
        <v>0</v>
      </c>
      <c r="O24" s="123">
        <f t="shared" si="2"/>
        <v>0</v>
      </c>
      <c r="P24" s="123">
        <f t="shared" si="2"/>
        <v>100000</v>
      </c>
      <c r="Q24" s="123">
        <f t="shared" si="2"/>
        <v>100000</v>
      </c>
      <c r="R24" s="123">
        <f t="shared" si="2"/>
        <v>100000</v>
      </c>
      <c r="S24" s="123">
        <f t="shared" si="2"/>
        <v>210400</v>
      </c>
      <c r="T24" s="123">
        <f t="shared" si="2"/>
        <v>0</v>
      </c>
      <c r="U24" s="123">
        <f>+SUM(U21:U23)</f>
        <v>600000</v>
      </c>
      <c r="V24" s="124"/>
    </row>
    <row r="25" spans="1:57" ht="15" x14ac:dyDescent="0.2">
      <c r="A25" s="101"/>
      <c r="B25" s="102"/>
      <c r="C25" s="101"/>
      <c r="D25" s="101"/>
      <c r="E25" s="101"/>
      <c r="F25" s="101"/>
      <c r="G25" s="101"/>
      <c r="H25" s="103"/>
      <c r="I25" s="101"/>
      <c r="J25" s="101"/>
      <c r="K25" s="101"/>
      <c r="L25" s="101"/>
      <c r="M25" s="101"/>
      <c r="N25" s="101"/>
      <c r="O25" s="101"/>
      <c r="P25" s="101"/>
      <c r="Q25" s="101"/>
      <c r="R25" s="101"/>
      <c r="S25" s="101"/>
      <c r="T25" s="101"/>
      <c r="U25" s="101"/>
      <c r="V25" s="101"/>
    </row>
    <row r="26" spans="1:57" ht="15" x14ac:dyDescent="0.2">
      <c r="A26" s="101"/>
      <c r="B26" s="102"/>
      <c r="C26" s="101"/>
      <c r="D26" s="101"/>
      <c r="E26" s="101"/>
      <c r="F26" s="101"/>
      <c r="G26" s="101"/>
      <c r="H26" s="103"/>
      <c r="I26" s="101"/>
      <c r="J26" s="101"/>
      <c r="K26" s="101"/>
      <c r="L26" s="101"/>
      <c r="M26" s="101"/>
      <c r="N26" s="101"/>
      <c r="O26" s="101"/>
      <c r="P26" s="101"/>
      <c r="Q26" s="101"/>
      <c r="R26" s="101"/>
      <c r="S26" s="101"/>
      <c r="T26" s="101"/>
      <c r="U26" s="101"/>
      <c r="V26" s="101"/>
    </row>
    <row r="27" spans="1:57" ht="15" x14ac:dyDescent="0.2">
      <c r="A27" s="101"/>
      <c r="B27" s="102"/>
      <c r="C27" s="101"/>
      <c r="D27" s="101"/>
      <c r="E27" s="101"/>
      <c r="F27" s="101"/>
      <c r="G27" s="125"/>
      <c r="H27" s="103"/>
      <c r="I27" s="101"/>
      <c r="J27" s="101"/>
      <c r="K27" s="101"/>
      <c r="L27" s="101"/>
      <c r="M27" s="101"/>
      <c r="N27" s="101"/>
      <c r="O27" s="101"/>
      <c r="P27" s="101"/>
      <c r="Q27" s="101"/>
      <c r="R27" s="101"/>
      <c r="S27" s="101"/>
      <c r="T27" s="101"/>
      <c r="U27" s="101"/>
      <c r="V27" s="101"/>
    </row>
    <row r="32" spans="1:57" ht="15" x14ac:dyDescent="0.2">
      <c r="B32" s="853"/>
      <c r="C32" s="853"/>
      <c r="D32" s="126"/>
      <c r="E32" s="101"/>
      <c r="F32" s="101"/>
      <c r="G32" s="853"/>
      <c r="H32" s="853"/>
      <c r="I32" s="853"/>
      <c r="J32" s="853"/>
      <c r="K32" s="853"/>
      <c r="L32" s="853"/>
      <c r="M32" s="101"/>
      <c r="N32" s="101"/>
      <c r="O32" s="101"/>
      <c r="P32" s="101"/>
      <c r="Q32" s="853"/>
      <c r="R32" s="853"/>
      <c r="S32" s="853"/>
    </row>
    <row r="33" spans="2:19" ht="15" x14ac:dyDescent="0.2">
      <c r="B33" s="854" t="s">
        <v>1043</v>
      </c>
      <c r="C33" s="854"/>
      <c r="D33" s="126"/>
      <c r="E33" s="101"/>
      <c r="F33" s="101"/>
      <c r="G33" s="854" t="s">
        <v>536</v>
      </c>
      <c r="H33" s="854"/>
      <c r="I33" s="854"/>
      <c r="J33" s="854"/>
      <c r="K33" s="854"/>
      <c r="L33" s="854"/>
      <c r="M33" s="101"/>
      <c r="N33" s="151"/>
      <c r="O33" s="101"/>
      <c r="P33" s="151"/>
      <c r="Q33" s="854" t="s">
        <v>537</v>
      </c>
      <c r="R33" s="854"/>
      <c r="S33" s="854"/>
    </row>
    <row r="34" spans="2:19" ht="15" x14ac:dyDescent="0.2">
      <c r="B34" s="851" t="s">
        <v>1044</v>
      </c>
      <c r="C34" s="851"/>
      <c r="D34" s="126"/>
      <c r="E34" s="101"/>
      <c r="F34" s="101"/>
      <c r="G34" s="852" t="s">
        <v>546</v>
      </c>
      <c r="H34" s="852"/>
      <c r="I34" s="852"/>
      <c r="J34" s="852"/>
      <c r="K34" s="852"/>
      <c r="L34" s="852"/>
      <c r="M34" s="101"/>
      <c r="N34" s="101"/>
      <c r="O34" s="101"/>
      <c r="P34" s="101"/>
      <c r="Q34" s="851" t="s">
        <v>538</v>
      </c>
      <c r="R34" s="851"/>
      <c r="S34" s="851"/>
    </row>
    <row r="35" spans="2:19" x14ac:dyDescent="0.2">
      <c r="B35" s="5"/>
      <c r="E35" s="5"/>
      <c r="H35" s="2"/>
    </row>
  </sheetData>
  <mergeCells count="30">
    <mergeCell ref="B34:C34"/>
    <mergeCell ref="G34:L34"/>
    <mergeCell ref="Q34:S34"/>
    <mergeCell ref="B32:C32"/>
    <mergeCell ref="G32:L32"/>
    <mergeCell ref="Q32:S32"/>
    <mergeCell ref="B33:C33"/>
    <mergeCell ref="G33:L33"/>
    <mergeCell ref="Q33:S33"/>
    <mergeCell ref="B17:V17"/>
    <mergeCell ref="U19:U20"/>
    <mergeCell ref="V19:V20"/>
    <mergeCell ref="A11:V11"/>
    <mergeCell ref="A12:V12"/>
    <mergeCell ref="A13:V13"/>
    <mergeCell ref="B15:V15"/>
    <mergeCell ref="B16:V16"/>
    <mergeCell ref="O19:Q19"/>
    <mergeCell ref="R19:T19"/>
    <mergeCell ref="A24:G24"/>
    <mergeCell ref="G19:G20"/>
    <mergeCell ref="H19:H20"/>
    <mergeCell ref="I19:K19"/>
    <mergeCell ref="L19:N19"/>
    <mergeCell ref="A19:A20"/>
    <mergeCell ref="B19:B20"/>
    <mergeCell ref="C19:C20"/>
    <mergeCell ref="D19:D20"/>
    <mergeCell ref="E19:E20"/>
    <mergeCell ref="F19:F20"/>
  </mergeCells>
  <pageMargins left="0.23622047244094491" right="0.23622047244094491" top="0.39370078740157483" bottom="0.39370078740157483" header="0.31496062992125984" footer="0.31496062992125984"/>
  <pageSetup paperSize="5" scale="19" orientation="landscape" r:id="rId1"/>
  <headerFooter>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DBCBF-14D3-4D83-B1A1-C51A1B6D149D}">
  <sheetPr codeName="Sheet5">
    <pageSetUpPr fitToPage="1"/>
  </sheetPr>
  <dimension ref="A8:BI57"/>
  <sheetViews>
    <sheetView workbookViewId="0"/>
  </sheetViews>
  <sheetFormatPr defaultColWidth="11.42578125" defaultRowHeight="14.25" x14ac:dyDescent="0.2"/>
  <cols>
    <col min="1" max="1" width="42.140625" style="5" customWidth="1"/>
    <col min="2" max="2" width="37" style="2" customWidth="1"/>
    <col min="3" max="3" width="25.42578125" style="5" customWidth="1"/>
    <col min="4" max="4" width="16.42578125" style="2" bestFit="1" customWidth="1"/>
    <col min="5" max="5" width="12.42578125" style="2" customWidth="1"/>
    <col min="6" max="6" width="39.28515625" style="5" customWidth="1"/>
    <col min="7" max="7" width="10" style="2" customWidth="1"/>
    <col min="8" max="8" width="13.42578125" style="2" customWidth="1"/>
    <col min="9" max="18" width="17" style="2" customWidth="1"/>
    <col min="19" max="19" width="22.7109375" style="2" customWidth="1"/>
    <col min="20" max="20" width="21.42578125" style="2" customWidth="1"/>
    <col min="21" max="21" width="19.7109375" style="2" customWidth="1"/>
    <col min="22" max="16384" width="11.42578125" style="2"/>
  </cols>
  <sheetData>
    <row r="8" spans="1:61" ht="19.5" x14ac:dyDescent="0.25">
      <c r="A8" s="858" t="s">
        <v>0</v>
      </c>
      <c r="B8" s="858"/>
      <c r="C8" s="858"/>
      <c r="D8" s="858"/>
      <c r="E8" s="858"/>
      <c r="F8" s="858"/>
      <c r="G8" s="858"/>
      <c r="H8" s="858"/>
      <c r="I8" s="858"/>
      <c r="J8" s="858"/>
      <c r="K8" s="858"/>
      <c r="L8" s="858"/>
      <c r="M8" s="858"/>
      <c r="N8" s="858"/>
      <c r="O8" s="858"/>
      <c r="P8" s="858"/>
      <c r="Q8" s="858"/>
      <c r="R8" s="858"/>
      <c r="S8" s="858"/>
      <c r="T8" s="858"/>
      <c r="U8" s="858"/>
    </row>
    <row r="9" spans="1:61" ht="19.5" x14ac:dyDescent="0.25">
      <c r="A9" s="858" t="s">
        <v>1</v>
      </c>
      <c r="B9" s="858"/>
      <c r="C9" s="858"/>
      <c r="D9" s="858"/>
      <c r="E9" s="858"/>
      <c r="F9" s="858"/>
      <c r="G9" s="858"/>
      <c r="H9" s="858"/>
      <c r="I9" s="858"/>
      <c r="J9" s="858"/>
      <c r="K9" s="858"/>
      <c r="L9" s="858"/>
      <c r="M9" s="858"/>
      <c r="N9" s="858"/>
      <c r="O9" s="858"/>
      <c r="P9" s="858"/>
      <c r="Q9" s="858"/>
      <c r="R9" s="858"/>
      <c r="S9" s="858"/>
      <c r="T9" s="858"/>
      <c r="U9" s="858"/>
    </row>
    <row r="10" spans="1:61" ht="19.5" x14ac:dyDescent="0.25">
      <c r="A10" s="3"/>
      <c r="B10" s="1"/>
      <c r="C10" s="3"/>
      <c r="D10" s="1"/>
      <c r="E10" s="1"/>
      <c r="F10" s="3"/>
      <c r="G10" s="1"/>
      <c r="H10" s="1"/>
      <c r="I10" s="1"/>
      <c r="J10" s="1"/>
      <c r="K10" s="1"/>
      <c r="L10" s="1"/>
      <c r="M10" s="1"/>
      <c r="N10" s="1"/>
      <c r="O10" s="1"/>
      <c r="P10" s="1"/>
      <c r="Q10" s="1"/>
      <c r="R10" s="1"/>
      <c r="S10" s="1"/>
      <c r="T10" s="1"/>
    </row>
    <row r="11" spans="1:61" s="58" customFormat="1" ht="15" x14ac:dyDescent="0.2">
      <c r="A11" s="155" t="s">
        <v>282</v>
      </c>
      <c r="B11" s="848" t="s">
        <v>482</v>
      </c>
      <c r="C11" s="848"/>
      <c r="D11" s="848"/>
      <c r="E11" s="848"/>
      <c r="F11" s="848"/>
      <c r="G11" s="848"/>
      <c r="H11" s="848"/>
      <c r="I11" s="848"/>
      <c r="J11" s="848"/>
      <c r="K11" s="848"/>
      <c r="L11" s="848"/>
      <c r="M11" s="848"/>
      <c r="N11" s="848"/>
      <c r="O11" s="848"/>
      <c r="P11" s="848"/>
      <c r="Q11" s="848"/>
      <c r="R11" s="848"/>
      <c r="S11" s="848"/>
      <c r="T11" s="848"/>
      <c r="U11" s="848"/>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row>
    <row r="12" spans="1:61" s="58" customFormat="1" ht="15" x14ac:dyDescent="0.2">
      <c r="A12" s="155" t="s">
        <v>3</v>
      </c>
      <c r="B12" s="848" t="s">
        <v>4</v>
      </c>
      <c r="C12" s="848"/>
      <c r="D12" s="848"/>
      <c r="E12" s="848"/>
      <c r="F12" s="848"/>
      <c r="G12" s="848"/>
      <c r="H12" s="848"/>
      <c r="I12" s="848"/>
      <c r="J12" s="848"/>
      <c r="K12" s="848"/>
      <c r="L12" s="848"/>
      <c r="M12" s="848"/>
      <c r="N12" s="848"/>
      <c r="O12" s="848"/>
      <c r="P12" s="848"/>
      <c r="Q12" s="848"/>
      <c r="R12" s="848"/>
      <c r="S12" s="848"/>
      <c r="T12" s="848"/>
      <c r="U12" s="848"/>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row>
    <row r="13" spans="1:61" s="58" customFormat="1" ht="19.5" customHeight="1" x14ac:dyDescent="0.2">
      <c r="A13" s="155" t="s">
        <v>5</v>
      </c>
      <c r="B13" s="848" t="s">
        <v>483</v>
      </c>
      <c r="C13" s="848"/>
      <c r="D13" s="848"/>
      <c r="E13" s="848"/>
      <c r="F13" s="848"/>
      <c r="G13" s="848"/>
      <c r="H13" s="848"/>
      <c r="I13" s="848"/>
      <c r="J13" s="848"/>
      <c r="K13" s="848"/>
      <c r="L13" s="848"/>
      <c r="M13" s="848"/>
      <c r="N13" s="848"/>
      <c r="O13" s="848"/>
      <c r="P13" s="848"/>
      <c r="Q13" s="848"/>
      <c r="R13" s="848"/>
      <c r="S13" s="848"/>
      <c r="T13" s="848"/>
      <c r="U13" s="848"/>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row>
    <row r="14" spans="1:61" s="58" customFormat="1" ht="15" x14ac:dyDescent="0.2">
      <c r="A14" s="126"/>
      <c r="B14" s="101"/>
      <c r="C14" s="126"/>
      <c r="D14" s="101"/>
      <c r="E14" s="101"/>
      <c r="F14" s="126"/>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row>
    <row r="15" spans="1:61" s="58" customFormat="1" ht="15" x14ac:dyDescent="0.2">
      <c r="A15" s="856" t="s">
        <v>6</v>
      </c>
      <c r="B15" s="856" t="s">
        <v>7</v>
      </c>
      <c r="C15" s="856" t="s">
        <v>8</v>
      </c>
      <c r="D15" s="846" t="s">
        <v>9</v>
      </c>
      <c r="E15" s="846"/>
      <c r="F15" s="845" t="s">
        <v>10</v>
      </c>
      <c r="G15" s="847" t="s">
        <v>11</v>
      </c>
      <c r="H15" s="847"/>
      <c r="I15" s="847"/>
      <c r="J15" s="847" t="s">
        <v>12</v>
      </c>
      <c r="K15" s="847"/>
      <c r="L15" s="847"/>
      <c r="M15" s="847" t="s">
        <v>13</v>
      </c>
      <c r="N15" s="847"/>
      <c r="O15" s="847"/>
      <c r="P15" s="847" t="s">
        <v>14</v>
      </c>
      <c r="Q15" s="847"/>
      <c r="R15" s="847"/>
      <c r="S15" s="845" t="s">
        <v>15</v>
      </c>
      <c r="T15" s="845" t="s">
        <v>16</v>
      </c>
      <c r="U15" s="845" t="s">
        <v>652</v>
      </c>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row>
    <row r="16" spans="1:61" s="60" customFormat="1" ht="33" customHeight="1" x14ac:dyDescent="0.25">
      <c r="A16" s="857"/>
      <c r="B16" s="857"/>
      <c r="C16" s="857"/>
      <c r="D16" s="96" t="s">
        <v>17</v>
      </c>
      <c r="E16" s="96" t="s">
        <v>18</v>
      </c>
      <c r="F16" s="845"/>
      <c r="G16" s="96" t="s">
        <v>19</v>
      </c>
      <c r="H16" s="96" t="s">
        <v>20</v>
      </c>
      <c r="I16" s="96" t="s">
        <v>21</v>
      </c>
      <c r="J16" s="96" t="s">
        <v>22</v>
      </c>
      <c r="K16" s="96" t="s">
        <v>23</v>
      </c>
      <c r="L16" s="96" t="s">
        <v>24</v>
      </c>
      <c r="M16" s="96" t="s">
        <v>25</v>
      </c>
      <c r="N16" s="96" t="s">
        <v>26</v>
      </c>
      <c r="O16" s="96" t="s">
        <v>27</v>
      </c>
      <c r="P16" s="96" t="s">
        <v>28</v>
      </c>
      <c r="Q16" s="96" t="s">
        <v>29</v>
      </c>
      <c r="R16" s="96" t="s">
        <v>30</v>
      </c>
      <c r="S16" s="845"/>
      <c r="T16" s="845"/>
      <c r="U16" s="845"/>
      <c r="V16" s="156"/>
      <c r="W16" s="156"/>
      <c r="X16" s="156"/>
      <c r="Y16" s="156"/>
      <c r="Z16" s="156"/>
      <c r="AA16" s="156"/>
      <c r="AB16" s="156"/>
      <c r="AC16" s="156"/>
      <c r="AD16" s="156"/>
      <c r="AE16" s="156"/>
      <c r="AF16" s="156"/>
      <c r="AG16" s="156"/>
      <c r="AH16" s="156"/>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row>
    <row r="17" spans="1:61" s="58" customFormat="1" ht="62.25" customHeight="1" x14ac:dyDescent="0.2">
      <c r="A17" s="859" t="s">
        <v>1093</v>
      </c>
      <c r="B17" s="859" t="s">
        <v>1089</v>
      </c>
      <c r="C17" s="859" t="s">
        <v>1090</v>
      </c>
      <c r="D17" s="861" t="s">
        <v>31</v>
      </c>
      <c r="E17" s="863">
        <v>0.9</v>
      </c>
      <c r="F17" s="132" t="s">
        <v>1072</v>
      </c>
      <c r="G17" s="157">
        <v>0.4</v>
      </c>
      <c r="H17" s="157">
        <v>0.45</v>
      </c>
      <c r="I17" s="157">
        <v>0.45</v>
      </c>
      <c r="J17" s="157">
        <v>0.45</v>
      </c>
      <c r="K17" s="157">
        <v>0.5</v>
      </c>
      <c r="L17" s="157">
        <v>0.5</v>
      </c>
      <c r="M17" s="157">
        <v>0.5</v>
      </c>
      <c r="N17" s="157">
        <v>0.55000000000000004</v>
      </c>
      <c r="O17" s="157">
        <v>0.55000000000000004</v>
      </c>
      <c r="P17" s="157">
        <v>0.55000000000000004</v>
      </c>
      <c r="Q17" s="157">
        <v>0.6</v>
      </c>
      <c r="R17" s="157">
        <v>0.6</v>
      </c>
      <c r="S17" s="865">
        <v>150000</v>
      </c>
      <c r="T17" s="131" t="s">
        <v>32</v>
      </c>
      <c r="U17" s="13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row>
    <row r="18" spans="1:61" s="58" customFormat="1" ht="62.25" customHeight="1" x14ac:dyDescent="0.2">
      <c r="A18" s="860"/>
      <c r="B18" s="860"/>
      <c r="C18" s="860"/>
      <c r="D18" s="862"/>
      <c r="E18" s="864"/>
      <c r="F18" s="132" t="s">
        <v>1073</v>
      </c>
      <c r="G18" s="157">
        <v>0.4</v>
      </c>
      <c r="H18" s="157">
        <v>0.45</v>
      </c>
      <c r="I18" s="157">
        <v>0.5</v>
      </c>
      <c r="J18" s="157">
        <v>0.55000000000000004</v>
      </c>
      <c r="K18" s="157">
        <v>0.55000000000000004</v>
      </c>
      <c r="L18" s="157">
        <v>0.55000000000000004</v>
      </c>
      <c r="M18" s="157">
        <v>0.6</v>
      </c>
      <c r="N18" s="157">
        <v>0.6</v>
      </c>
      <c r="O18" s="157">
        <v>0.6</v>
      </c>
      <c r="P18" s="157">
        <v>0.7</v>
      </c>
      <c r="Q18" s="157">
        <v>0.8</v>
      </c>
      <c r="R18" s="157">
        <v>0.9</v>
      </c>
      <c r="S18" s="866"/>
      <c r="T18" s="131" t="s">
        <v>32</v>
      </c>
      <c r="U18" s="13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row>
    <row r="19" spans="1:61" s="58" customFormat="1" ht="62.25" customHeight="1" x14ac:dyDescent="0.2">
      <c r="A19" s="860"/>
      <c r="B19" s="860"/>
      <c r="C19" s="860"/>
      <c r="D19" s="862"/>
      <c r="E19" s="864"/>
      <c r="F19" s="132" t="s">
        <v>1074</v>
      </c>
      <c r="G19" s="157">
        <v>0.4</v>
      </c>
      <c r="H19" s="157">
        <v>0.45</v>
      </c>
      <c r="I19" s="157">
        <v>0.5</v>
      </c>
      <c r="J19" s="157">
        <v>0.55000000000000004</v>
      </c>
      <c r="K19" s="157">
        <v>0.55000000000000004</v>
      </c>
      <c r="L19" s="157">
        <v>0.55000000000000004</v>
      </c>
      <c r="M19" s="157">
        <v>0.6</v>
      </c>
      <c r="N19" s="157">
        <v>0.6</v>
      </c>
      <c r="O19" s="157">
        <v>0.6</v>
      </c>
      <c r="P19" s="157">
        <v>0.7</v>
      </c>
      <c r="Q19" s="157">
        <v>0.8</v>
      </c>
      <c r="R19" s="157">
        <v>0.9</v>
      </c>
      <c r="S19" s="866"/>
      <c r="T19" s="131" t="s">
        <v>32</v>
      </c>
      <c r="U19" s="13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row>
    <row r="20" spans="1:61" s="58" customFormat="1" ht="62.25" customHeight="1" x14ac:dyDescent="0.2">
      <c r="A20" s="860"/>
      <c r="B20" s="860"/>
      <c r="C20" s="860"/>
      <c r="D20" s="862"/>
      <c r="E20" s="864"/>
      <c r="F20" s="132" t="s">
        <v>1094</v>
      </c>
      <c r="G20" s="157">
        <v>0.4</v>
      </c>
      <c r="H20" s="157">
        <v>0.45</v>
      </c>
      <c r="I20" s="157">
        <v>0.5</v>
      </c>
      <c r="J20" s="157">
        <v>0.55000000000000004</v>
      </c>
      <c r="K20" s="157">
        <v>0.6</v>
      </c>
      <c r="L20" s="157">
        <v>0.7</v>
      </c>
      <c r="M20" s="157">
        <v>0.75</v>
      </c>
      <c r="N20" s="157">
        <v>0.8</v>
      </c>
      <c r="O20" s="157">
        <v>0.85</v>
      </c>
      <c r="P20" s="157">
        <v>0.9</v>
      </c>
      <c r="Q20" s="157">
        <v>0.93</v>
      </c>
      <c r="R20" s="157">
        <v>0.95</v>
      </c>
      <c r="S20" s="866"/>
      <c r="T20" s="131" t="s">
        <v>32</v>
      </c>
      <c r="U20" s="13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row>
    <row r="21" spans="1:61" s="58" customFormat="1" ht="62.25" customHeight="1" x14ac:dyDescent="0.2">
      <c r="A21" s="860"/>
      <c r="B21" s="860"/>
      <c r="C21" s="860"/>
      <c r="D21" s="862"/>
      <c r="E21" s="864"/>
      <c r="F21" s="132" t="s">
        <v>1095</v>
      </c>
      <c r="G21" s="157">
        <v>0.4</v>
      </c>
      <c r="H21" s="157">
        <v>0.45</v>
      </c>
      <c r="I21" s="157">
        <v>0.5</v>
      </c>
      <c r="J21" s="157">
        <v>0.55000000000000004</v>
      </c>
      <c r="K21" s="157">
        <v>0.6</v>
      </c>
      <c r="L21" s="157">
        <v>0.7</v>
      </c>
      <c r="M21" s="157">
        <v>0.75</v>
      </c>
      <c r="N21" s="157">
        <v>0.8</v>
      </c>
      <c r="O21" s="157">
        <v>0.85</v>
      </c>
      <c r="P21" s="157">
        <v>0.9</v>
      </c>
      <c r="Q21" s="157">
        <v>0.93</v>
      </c>
      <c r="R21" s="157">
        <v>0.95</v>
      </c>
      <c r="S21" s="866"/>
      <c r="T21" s="131" t="s">
        <v>32</v>
      </c>
      <c r="U21" s="13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row>
    <row r="22" spans="1:61" s="58" customFormat="1" ht="62.25" customHeight="1" x14ac:dyDescent="0.2">
      <c r="A22" s="860"/>
      <c r="B22" s="860"/>
      <c r="C22" s="860"/>
      <c r="D22" s="862"/>
      <c r="E22" s="864"/>
      <c r="F22" s="132" t="s">
        <v>1096</v>
      </c>
      <c r="G22" s="157">
        <v>0.4</v>
      </c>
      <c r="H22" s="157">
        <v>0.45</v>
      </c>
      <c r="I22" s="157">
        <v>0.5</v>
      </c>
      <c r="J22" s="157">
        <v>0.55000000000000004</v>
      </c>
      <c r="K22" s="157">
        <v>0.6</v>
      </c>
      <c r="L22" s="157">
        <v>0.7</v>
      </c>
      <c r="M22" s="157">
        <v>0.75</v>
      </c>
      <c r="N22" s="157">
        <v>0.8</v>
      </c>
      <c r="O22" s="157">
        <v>0.85</v>
      </c>
      <c r="P22" s="157">
        <v>0.9</v>
      </c>
      <c r="Q22" s="157">
        <v>0.93</v>
      </c>
      <c r="R22" s="157">
        <v>0.95</v>
      </c>
      <c r="S22" s="866"/>
      <c r="T22" s="131" t="s">
        <v>32</v>
      </c>
      <c r="U22" s="13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row>
    <row r="23" spans="1:61" s="58" customFormat="1" ht="62.25" customHeight="1" x14ac:dyDescent="0.2">
      <c r="A23" s="860"/>
      <c r="B23" s="860"/>
      <c r="C23" s="860"/>
      <c r="D23" s="862"/>
      <c r="E23" s="864"/>
      <c r="F23" s="132" t="s">
        <v>1097</v>
      </c>
      <c r="G23" s="157">
        <v>0.4</v>
      </c>
      <c r="H23" s="157">
        <v>0.45</v>
      </c>
      <c r="I23" s="157">
        <v>0.5</v>
      </c>
      <c r="J23" s="157">
        <v>0.55000000000000004</v>
      </c>
      <c r="K23" s="157">
        <v>0.55000000000000004</v>
      </c>
      <c r="L23" s="157">
        <v>0.6</v>
      </c>
      <c r="M23" s="157">
        <v>0.6</v>
      </c>
      <c r="N23" s="157">
        <v>0.6</v>
      </c>
      <c r="O23" s="157">
        <v>0.65</v>
      </c>
      <c r="P23" s="157">
        <v>0.7</v>
      </c>
      <c r="Q23" s="157">
        <v>0.75</v>
      </c>
      <c r="R23" s="157">
        <v>0.8</v>
      </c>
      <c r="S23" s="866"/>
      <c r="T23" s="131" t="s">
        <v>32</v>
      </c>
      <c r="U23" s="13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row>
    <row r="24" spans="1:61" s="58" customFormat="1" ht="62.25" customHeight="1" x14ac:dyDescent="0.2">
      <c r="A24" s="860"/>
      <c r="B24" s="860"/>
      <c r="C24" s="860"/>
      <c r="D24" s="862"/>
      <c r="E24" s="864"/>
      <c r="F24" s="132" t="s">
        <v>1075</v>
      </c>
      <c r="G24" s="157">
        <v>0.4</v>
      </c>
      <c r="H24" s="157">
        <v>0.45</v>
      </c>
      <c r="I24" s="157">
        <v>0.5</v>
      </c>
      <c r="J24" s="157">
        <v>0.55000000000000004</v>
      </c>
      <c r="K24" s="157">
        <v>0.6</v>
      </c>
      <c r="L24" s="157">
        <v>0.7</v>
      </c>
      <c r="M24" s="157">
        <v>0.75</v>
      </c>
      <c r="N24" s="157">
        <v>0.8</v>
      </c>
      <c r="O24" s="157">
        <v>0.85</v>
      </c>
      <c r="P24" s="157">
        <v>0.9</v>
      </c>
      <c r="Q24" s="157">
        <v>0.93</v>
      </c>
      <c r="R24" s="157">
        <v>0.95</v>
      </c>
      <c r="S24" s="866"/>
      <c r="T24" s="131" t="s">
        <v>32</v>
      </c>
      <c r="U24" s="13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row>
    <row r="25" spans="1:61" s="58" customFormat="1" ht="62.25" customHeight="1" x14ac:dyDescent="0.2">
      <c r="A25" s="860"/>
      <c r="B25" s="860"/>
      <c r="C25" s="860"/>
      <c r="D25" s="862"/>
      <c r="E25" s="864"/>
      <c r="F25" s="132" t="s">
        <v>1098</v>
      </c>
      <c r="G25" s="157">
        <v>0.4</v>
      </c>
      <c r="H25" s="157">
        <v>0.45</v>
      </c>
      <c r="I25" s="157">
        <v>0.5</v>
      </c>
      <c r="J25" s="157">
        <v>0.55000000000000004</v>
      </c>
      <c r="K25" s="157">
        <v>0.6</v>
      </c>
      <c r="L25" s="157">
        <v>0.7</v>
      </c>
      <c r="M25" s="157">
        <v>0.75</v>
      </c>
      <c r="N25" s="157">
        <v>0.8</v>
      </c>
      <c r="O25" s="157">
        <v>0.85</v>
      </c>
      <c r="P25" s="157">
        <v>0.9</v>
      </c>
      <c r="Q25" s="157">
        <v>0.93</v>
      </c>
      <c r="R25" s="157">
        <v>0.95</v>
      </c>
      <c r="S25" s="866"/>
      <c r="T25" s="131" t="s">
        <v>32</v>
      </c>
      <c r="U25" s="13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row>
    <row r="26" spans="1:61" s="58" customFormat="1" ht="62.25" customHeight="1" x14ac:dyDescent="0.2">
      <c r="A26" s="860"/>
      <c r="B26" s="860"/>
      <c r="C26" s="860"/>
      <c r="D26" s="862"/>
      <c r="E26" s="864"/>
      <c r="F26" s="132" t="s">
        <v>1099</v>
      </c>
      <c r="G26" s="157">
        <v>0.4</v>
      </c>
      <c r="H26" s="157">
        <v>0.45</v>
      </c>
      <c r="I26" s="157">
        <v>0.5</v>
      </c>
      <c r="J26" s="157">
        <v>0.55000000000000004</v>
      </c>
      <c r="K26" s="157">
        <v>0.55000000000000004</v>
      </c>
      <c r="L26" s="157">
        <v>0.6</v>
      </c>
      <c r="M26" s="157">
        <v>0.6</v>
      </c>
      <c r="N26" s="157">
        <v>0.65</v>
      </c>
      <c r="O26" s="157">
        <v>0.65</v>
      </c>
      <c r="P26" s="157">
        <v>0.7</v>
      </c>
      <c r="Q26" s="157">
        <v>0.75</v>
      </c>
      <c r="R26" s="157">
        <v>0.8</v>
      </c>
      <c r="S26" s="866"/>
      <c r="T26" s="131" t="s">
        <v>32</v>
      </c>
      <c r="U26" s="13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row>
    <row r="27" spans="1:61" s="58" customFormat="1" ht="62.25" customHeight="1" x14ac:dyDescent="0.2">
      <c r="A27" s="860"/>
      <c r="B27" s="877" t="s">
        <v>1100</v>
      </c>
      <c r="C27" s="859" t="s">
        <v>1090</v>
      </c>
      <c r="D27" s="861" t="s">
        <v>31</v>
      </c>
      <c r="E27" s="863">
        <v>0.7</v>
      </c>
      <c r="F27" s="132" t="s">
        <v>1149</v>
      </c>
      <c r="G27" s="157">
        <v>0.45</v>
      </c>
      <c r="H27" s="157">
        <v>0.5</v>
      </c>
      <c r="I27" s="157">
        <v>0.5</v>
      </c>
      <c r="J27" s="157">
        <v>0.5</v>
      </c>
      <c r="K27" s="157">
        <v>0.55000000000000004</v>
      </c>
      <c r="L27" s="157">
        <v>0.55000000000000004</v>
      </c>
      <c r="M27" s="157">
        <v>0.55000000000000004</v>
      </c>
      <c r="N27" s="157">
        <v>0.6</v>
      </c>
      <c r="O27" s="157">
        <v>0.6</v>
      </c>
      <c r="P27" s="157">
        <v>0.6</v>
      </c>
      <c r="Q27" s="157">
        <v>0.65</v>
      </c>
      <c r="R27" s="157">
        <v>0.65</v>
      </c>
      <c r="S27" s="158"/>
      <c r="T27" s="131" t="s">
        <v>32</v>
      </c>
      <c r="U27" s="13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row>
    <row r="28" spans="1:61" s="58" customFormat="1" ht="62.25" customHeight="1" x14ac:dyDescent="0.2">
      <c r="A28" s="860"/>
      <c r="B28" s="878"/>
      <c r="C28" s="860"/>
      <c r="D28" s="862"/>
      <c r="E28" s="864"/>
      <c r="F28" s="132" t="s">
        <v>1150</v>
      </c>
      <c r="G28" s="157">
        <v>0.45</v>
      </c>
      <c r="H28" s="157">
        <v>0.5</v>
      </c>
      <c r="I28" s="157">
        <v>0.55000000000000004</v>
      </c>
      <c r="J28" s="157">
        <v>0.6</v>
      </c>
      <c r="K28" s="157">
        <v>0.6</v>
      </c>
      <c r="L28" s="157">
        <v>0.6</v>
      </c>
      <c r="M28" s="157">
        <v>0.65</v>
      </c>
      <c r="N28" s="157">
        <v>0.65</v>
      </c>
      <c r="O28" s="157">
        <v>0.65</v>
      </c>
      <c r="P28" s="157">
        <v>0.75</v>
      </c>
      <c r="Q28" s="157">
        <v>0.85</v>
      </c>
      <c r="R28" s="157">
        <v>0.95</v>
      </c>
      <c r="S28" s="158"/>
      <c r="T28" s="131" t="s">
        <v>32</v>
      </c>
      <c r="U28" s="13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row>
    <row r="29" spans="1:61" s="58" customFormat="1" ht="62.25" customHeight="1" x14ac:dyDescent="0.2">
      <c r="A29" s="860"/>
      <c r="B29" s="878"/>
      <c r="C29" s="860"/>
      <c r="D29" s="862"/>
      <c r="E29" s="864"/>
      <c r="F29" s="132" t="s">
        <v>1151</v>
      </c>
      <c r="G29" s="157">
        <v>0.45</v>
      </c>
      <c r="H29" s="157">
        <v>0.5</v>
      </c>
      <c r="I29" s="157">
        <v>0.55000000000000004</v>
      </c>
      <c r="J29" s="157">
        <v>0.6</v>
      </c>
      <c r="K29" s="157">
        <v>0.6</v>
      </c>
      <c r="L29" s="157">
        <v>0.6</v>
      </c>
      <c r="M29" s="157">
        <v>0.65</v>
      </c>
      <c r="N29" s="157">
        <v>0.65</v>
      </c>
      <c r="O29" s="157">
        <v>0.65</v>
      </c>
      <c r="P29" s="157">
        <v>0.75</v>
      </c>
      <c r="Q29" s="157">
        <v>0.85</v>
      </c>
      <c r="R29" s="157">
        <v>0.95</v>
      </c>
      <c r="S29" s="158"/>
      <c r="T29" s="131" t="s">
        <v>32</v>
      </c>
      <c r="U29" s="13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row>
    <row r="30" spans="1:61" s="58" customFormat="1" ht="62.25" customHeight="1" x14ac:dyDescent="0.2">
      <c r="A30" s="860"/>
      <c r="B30" s="878"/>
      <c r="C30" s="860"/>
      <c r="D30" s="862"/>
      <c r="E30" s="864"/>
      <c r="F30" s="132" t="s">
        <v>1152</v>
      </c>
      <c r="G30" s="157">
        <v>0.45</v>
      </c>
      <c r="H30" s="157">
        <v>0.5</v>
      </c>
      <c r="I30" s="157">
        <v>0.55000000000000004</v>
      </c>
      <c r="J30" s="157">
        <v>0.6</v>
      </c>
      <c r="K30" s="157">
        <v>0.65</v>
      </c>
      <c r="L30" s="157">
        <v>0.75</v>
      </c>
      <c r="M30" s="157">
        <v>0.8</v>
      </c>
      <c r="N30" s="157">
        <v>0.85</v>
      </c>
      <c r="O30" s="157">
        <v>0.9</v>
      </c>
      <c r="P30" s="157">
        <v>0.95</v>
      </c>
      <c r="Q30" s="157">
        <v>0.98</v>
      </c>
      <c r="R30" s="157">
        <v>1</v>
      </c>
      <c r="S30" s="158"/>
      <c r="T30" s="131" t="s">
        <v>32</v>
      </c>
      <c r="U30" s="13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row>
    <row r="31" spans="1:61" s="58" customFormat="1" ht="62.25" customHeight="1" x14ac:dyDescent="0.2">
      <c r="A31" s="860"/>
      <c r="B31" s="878"/>
      <c r="C31" s="860"/>
      <c r="D31" s="862"/>
      <c r="E31" s="864"/>
      <c r="F31" s="132" t="s">
        <v>1153</v>
      </c>
      <c r="G31" s="157">
        <v>0.45</v>
      </c>
      <c r="H31" s="157">
        <v>0.5</v>
      </c>
      <c r="I31" s="157">
        <v>0.55000000000000004</v>
      </c>
      <c r="J31" s="157">
        <v>0.6</v>
      </c>
      <c r="K31" s="157">
        <v>0.65</v>
      </c>
      <c r="L31" s="157">
        <v>0.75</v>
      </c>
      <c r="M31" s="157">
        <v>0.8</v>
      </c>
      <c r="N31" s="157">
        <v>0.85</v>
      </c>
      <c r="O31" s="157">
        <v>0.9</v>
      </c>
      <c r="P31" s="157">
        <v>0.95</v>
      </c>
      <c r="Q31" s="157">
        <v>0.98</v>
      </c>
      <c r="R31" s="157">
        <v>1</v>
      </c>
      <c r="S31" s="158"/>
      <c r="T31" s="131" t="s">
        <v>32</v>
      </c>
      <c r="U31" s="13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row>
    <row r="32" spans="1:61" s="58" customFormat="1" ht="62.25" customHeight="1" x14ac:dyDescent="0.2">
      <c r="A32" s="860"/>
      <c r="B32" s="878"/>
      <c r="C32" s="860"/>
      <c r="D32" s="862"/>
      <c r="E32" s="864"/>
      <c r="F32" s="132" t="s">
        <v>1154</v>
      </c>
      <c r="G32" s="157">
        <v>0.45</v>
      </c>
      <c r="H32" s="157">
        <v>0.5</v>
      </c>
      <c r="I32" s="157">
        <v>0.55000000000000004</v>
      </c>
      <c r="J32" s="157">
        <v>0.6</v>
      </c>
      <c r="K32" s="157">
        <v>0.65</v>
      </c>
      <c r="L32" s="157">
        <v>0.75</v>
      </c>
      <c r="M32" s="157">
        <v>0.8</v>
      </c>
      <c r="N32" s="157">
        <v>0.85</v>
      </c>
      <c r="O32" s="157">
        <v>0.9</v>
      </c>
      <c r="P32" s="157">
        <v>0.95</v>
      </c>
      <c r="Q32" s="157">
        <v>0.98</v>
      </c>
      <c r="R32" s="157">
        <v>1</v>
      </c>
      <c r="S32" s="158"/>
      <c r="T32" s="131" t="s">
        <v>32</v>
      </c>
      <c r="U32" s="13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row>
    <row r="33" spans="1:61" s="58" customFormat="1" ht="62.25" customHeight="1" x14ac:dyDescent="0.2">
      <c r="A33" s="860"/>
      <c r="B33" s="878"/>
      <c r="C33" s="860"/>
      <c r="D33" s="862"/>
      <c r="E33" s="864"/>
      <c r="F33" s="132" t="s">
        <v>1155</v>
      </c>
      <c r="G33" s="157">
        <v>0.45</v>
      </c>
      <c r="H33" s="157">
        <v>0.5</v>
      </c>
      <c r="I33" s="157">
        <v>0.55000000000000004</v>
      </c>
      <c r="J33" s="157">
        <v>0.6</v>
      </c>
      <c r="K33" s="157">
        <v>0.6</v>
      </c>
      <c r="L33" s="157">
        <v>0.65</v>
      </c>
      <c r="M33" s="157">
        <v>0.65</v>
      </c>
      <c r="N33" s="157">
        <v>0.7</v>
      </c>
      <c r="O33" s="157">
        <v>0.7</v>
      </c>
      <c r="P33" s="157">
        <v>0.75</v>
      </c>
      <c r="Q33" s="157">
        <v>0.8</v>
      </c>
      <c r="R33" s="157">
        <v>0.85</v>
      </c>
      <c r="S33" s="158"/>
      <c r="T33" s="131" t="s">
        <v>32</v>
      </c>
      <c r="U33" s="13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row>
    <row r="34" spans="1:61" s="58" customFormat="1" ht="62.25" customHeight="1" x14ac:dyDescent="0.2">
      <c r="A34" s="860"/>
      <c r="B34" s="878"/>
      <c r="C34" s="860"/>
      <c r="D34" s="862"/>
      <c r="E34" s="864"/>
      <c r="F34" s="132" t="s">
        <v>1156</v>
      </c>
      <c r="G34" s="157">
        <v>0.45</v>
      </c>
      <c r="H34" s="157">
        <v>0.5</v>
      </c>
      <c r="I34" s="157">
        <v>0.55000000000000004</v>
      </c>
      <c r="J34" s="157">
        <v>0.6</v>
      </c>
      <c r="K34" s="157">
        <v>0.65</v>
      </c>
      <c r="L34" s="157">
        <v>0.75</v>
      </c>
      <c r="M34" s="157">
        <v>0.8</v>
      </c>
      <c r="N34" s="157">
        <v>0.85</v>
      </c>
      <c r="O34" s="157">
        <v>0.9</v>
      </c>
      <c r="P34" s="157">
        <v>0.95</v>
      </c>
      <c r="Q34" s="157">
        <v>0.98</v>
      </c>
      <c r="R34" s="157">
        <v>1</v>
      </c>
      <c r="S34" s="158"/>
      <c r="T34" s="131" t="s">
        <v>32</v>
      </c>
      <c r="U34" s="13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row>
    <row r="35" spans="1:61" s="58" customFormat="1" ht="62.25" customHeight="1" x14ac:dyDescent="0.2">
      <c r="A35" s="860"/>
      <c r="B35" s="878"/>
      <c r="C35" s="860"/>
      <c r="D35" s="862"/>
      <c r="E35" s="864"/>
      <c r="F35" s="132" t="s">
        <v>1157</v>
      </c>
      <c r="G35" s="157">
        <v>0.45</v>
      </c>
      <c r="H35" s="157">
        <v>0.5</v>
      </c>
      <c r="I35" s="157">
        <v>0.55000000000000004</v>
      </c>
      <c r="J35" s="157">
        <v>0.6</v>
      </c>
      <c r="K35" s="157">
        <v>0.65</v>
      </c>
      <c r="L35" s="157">
        <v>0.75</v>
      </c>
      <c r="M35" s="157">
        <v>0.8</v>
      </c>
      <c r="N35" s="157">
        <v>0.85</v>
      </c>
      <c r="O35" s="157">
        <v>0.9</v>
      </c>
      <c r="P35" s="157">
        <v>0.95</v>
      </c>
      <c r="Q35" s="157">
        <v>0.98</v>
      </c>
      <c r="R35" s="157">
        <v>1</v>
      </c>
      <c r="S35" s="158"/>
      <c r="T35" s="131" t="s">
        <v>32</v>
      </c>
      <c r="U35" s="13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row>
    <row r="36" spans="1:61" s="58" customFormat="1" ht="62.25" customHeight="1" x14ac:dyDescent="0.2">
      <c r="A36" s="860"/>
      <c r="B36" s="879"/>
      <c r="C36" s="876"/>
      <c r="D36" s="880"/>
      <c r="E36" s="881"/>
      <c r="F36" s="132" t="s">
        <v>1158</v>
      </c>
      <c r="G36" s="157">
        <v>0.45</v>
      </c>
      <c r="H36" s="157">
        <v>0.5</v>
      </c>
      <c r="I36" s="157">
        <v>0.55000000000000004</v>
      </c>
      <c r="J36" s="157">
        <v>0.6</v>
      </c>
      <c r="K36" s="157">
        <v>0.6</v>
      </c>
      <c r="L36" s="157">
        <v>0.65</v>
      </c>
      <c r="M36" s="157">
        <v>0.65</v>
      </c>
      <c r="N36" s="157">
        <v>0.7</v>
      </c>
      <c r="O36" s="157">
        <v>0.7</v>
      </c>
      <c r="P36" s="157">
        <v>0.75</v>
      </c>
      <c r="Q36" s="157">
        <v>0.8</v>
      </c>
      <c r="R36" s="157">
        <v>0.85</v>
      </c>
      <c r="S36" s="158"/>
      <c r="T36" s="131" t="s">
        <v>32</v>
      </c>
      <c r="U36" s="13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row>
    <row r="37" spans="1:61" s="58" customFormat="1" ht="49.5" customHeight="1" x14ac:dyDescent="0.2">
      <c r="A37" s="873" t="s">
        <v>944</v>
      </c>
      <c r="B37" s="159" t="s">
        <v>35</v>
      </c>
      <c r="C37" s="159" t="s">
        <v>36</v>
      </c>
      <c r="D37" s="160" t="s">
        <v>37</v>
      </c>
      <c r="E37" s="161">
        <v>80000</v>
      </c>
      <c r="F37" s="159" t="s">
        <v>945</v>
      </c>
      <c r="G37" s="160"/>
      <c r="H37" s="160"/>
      <c r="I37" s="160"/>
      <c r="J37" s="160"/>
      <c r="K37" s="160"/>
      <c r="L37" s="160"/>
      <c r="M37" s="160"/>
      <c r="N37" s="160"/>
      <c r="O37" s="160"/>
      <c r="P37" s="160"/>
      <c r="Q37" s="160"/>
      <c r="R37" s="161">
        <v>80000</v>
      </c>
      <c r="S37" s="162">
        <v>90000</v>
      </c>
      <c r="T37" s="160" t="s">
        <v>38</v>
      </c>
      <c r="U37" s="264"/>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row>
    <row r="38" spans="1:61" s="58" customFormat="1" ht="63" customHeight="1" x14ac:dyDescent="0.2">
      <c r="A38" s="874"/>
      <c r="B38" s="437" t="s">
        <v>39</v>
      </c>
      <c r="C38" s="164" t="s">
        <v>40</v>
      </c>
      <c r="D38" s="164" t="s">
        <v>41</v>
      </c>
      <c r="E38" s="164">
        <v>11</v>
      </c>
      <c r="F38" s="149" t="s">
        <v>946</v>
      </c>
      <c r="G38" s="135"/>
      <c r="H38" s="135"/>
      <c r="I38" s="135"/>
      <c r="J38" s="135"/>
      <c r="K38" s="135"/>
      <c r="L38" s="135"/>
      <c r="M38" s="135"/>
      <c r="N38" s="135"/>
      <c r="O38" s="135"/>
      <c r="P38" s="135"/>
      <c r="Q38" s="135"/>
      <c r="R38" s="165">
        <v>0.8</v>
      </c>
      <c r="S38" s="166">
        <v>922749.88</v>
      </c>
      <c r="T38" s="160" t="s">
        <v>38</v>
      </c>
      <c r="U38" s="264"/>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row>
    <row r="39" spans="1:61" s="58" customFormat="1" ht="62.25" customHeight="1" x14ac:dyDescent="0.2">
      <c r="A39" s="874"/>
      <c r="B39" s="882" t="s">
        <v>1092</v>
      </c>
      <c r="C39" s="885" t="s">
        <v>1091</v>
      </c>
      <c r="D39" s="867" t="s">
        <v>31</v>
      </c>
      <c r="E39" s="870">
        <v>0.8</v>
      </c>
      <c r="F39" s="149" t="s">
        <v>1159</v>
      </c>
      <c r="G39" s="574"/>
      <c r="H39" s="574"/>
      <c r="I39" s="574"/>
      <c r="J39" s="574"/>
      <c r="K39" s="574"/>
      <c r="L39" s="574"/>
      <c r="M39" s="574"/>
      <c r="N39" s="574"/>
      <c r="O39" s="574"/>
      <c r="P39" s="574"/>
      <c r="Q39" s="574">
        <v>0.8</v>
      </c>
      <c r="R39" s="574"/>
      <c r="S39" s="575"/>
      <c r="T39" s="135" t="s">
        <v>32</v>
      </c>
      <c r="U39" s="135"/>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row>
    <row r="40" spans="1:61" s="58" customFormat="1" ht="62.25" customHeight="1" x14ac:dyDescent="0.2">
      <c r="A40" s="874"/>
      <c r="B40" s="883"/>
      <c r="C40" s="886"/>
      <c r="D40" s="868"/>
      <c r="E40" s="871"/>
      <c r="F40" s="149" t="s">
        <v>1160</v>
      </c>
      <c r="G40" s="574"/>
      <c r="H40" s="574"/>
      <c r="I40" s="574"/>
      <c r="J40" s="574"/>
      <c r="K40" s="574"/>
      <c r="L40" s="574"/>
      <c r="M40" s="574"/>
      <c r="N40" s="574"/>
      <c r="O40" s="574"/>
      <c r="P40" s="574"/>
      <c r="Q40" s="574">
        <v>0.8</v>
      </c>
      <c r="R40" s="574"/>
      <c r="S40" s="575"/>
      <c r="T40" s="135" t="s">
        <v>32</v>
      </c>
      <c r="U40" s="135"/>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row>
    <row r="41" spans="1:61" s="58" customFormat="1" ht="62.25" customHeight="1" x14ac:dyDescent="0.2">
      <c r="A41" s="874"/>
      <c r="B41" s="883"/>
      <c r="C41" s="886"/>
      <c r="D41" s="868"/>
      <c r="E41" s="871"/>
      <c r="F41" s="149" t="s">
        <v>1161</v>
      </c>
      <c r="G41" s="574"/>
      <c r="H41" s="574"/>
      <c r="I41" s="574"/>
      <c r="J41" s="574"/>
      <c r="K41" s="574"/>
      <c r="L41" s="574"/>
      <c r="M41" s="574"/>
      <c r="N41" s="574"/>
      <c r="O41" s="574"/>
      <c r="P41" s="574"/>
      <c r="Q41" s="574">
        <v>0.8</v>
      </c>
      <c r="R41" s="574"/>
      <c r="S41" s="575"/>
      <c r="T41" s="135" t="s">
        <v>32</v>
      </c>
      <c r="U41" s="135"/>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row>
    <row r="42" spans="1:61" s="58" customFormat="1" ht="62.25" customHeight="1" x14ac:dyDescent="0.2">
      <c r="A42" s="874"/>
      <c r="B42" s="883"/>
      <c r="C42" s="886"/>
      <c r="D42" s="868"/>
      <c r="E42" s="871"/>
      <c r="F42" s="149" t="s">
        <v>1162</v>
      </c>
      <c r="G42" s="574"/>
      <c r="H42" s="574"/>
      <c r="I42" s="574"/>
      <c r="J42" s="574"/>
      <c r="K42" s="574"/>
      <c r="L42" s="574"/>
      <c r="M42" s="574"/>
      <c r="N42" s="574"/>
      <c r="O42" s="574"/>
      <c r="P42" s="574"/>
      <c r="Q42" s="574">
        <v>0.8</v>
      </c>
      <c r="R42" s="574"/>
      <c r="S42" s="575"/>
      <c r="T42" s="135" t="s">
        <v>32</v>
      </c>
      <c r="U42" s="135"/>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row>
    <row r="43" spans="1:61" s="58" customFormat="1" ht="62.25" customHeight="1" x14ac:dyDescent="0.2">
      <c r="A43" s="874"/>
      <c r="B43" s="883"/>
      <c r="C43" s="886"/>
      <c r="D43" s="868"/>
      <c r="E43" s="871"/>
      <c r="F43" s="149" t="s">
        <v>1163</v>
      </c>
      <c r="G43" s="574"/>
      <c r="H43" s="574"/>
      <c r="I43" s="574"/>
      <c r="J43" s="574"/>
      <c r="K43" s="574"/>
      <c r="L43" s="574"/>
      <c r="M43" s="574"/>
      <c r="N43" s="574"/>
      <c r="O43" s="574"/>
      <c r="P43" s="574"/>
      <c r="Q43" s="574">
        <v>0.8</v>
      </c>
      <c r="R43" s="574"/>
      <c r="S43" s="575"/>
      <c r="T43" s="135" t="s">
        <v>32</v>
      </c>
      <c r="U43" s="135"/>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row>
    <row r="44" spans="1:61" s="58" customFormat="1" ht="62.25" customHeight="1" x14ac:dyDescent="0.2">
      <c r="A44" s="874"/>
      <c r="B44" s="883"/>
      <c r="C44" s="886"/>
      <c r="D44" s="868"/>
      <c r="E44" s="871"/>
      <c r="F44" s="149" t="s">
        <v>1164</v>
      </c>
      <c r="H44" s="574"/>
      <c r="I44" s="574"/>
      <c r="J44" s="574"/>
      <c r="K44" s="574"/>
      <c r="L44" s="574"/>
      <c r="M44" s="574"/>
      <c r="N44" s="574"/>
      <c r="O44" s="574"/>
      <c r="P44" s="574"/>
      <c r="Q44" s="574">
        <v>0.8</v>
      </c>
      <c r="R44" s="574"/>
      <c r="S44" s="575"/>
      <c r="T44" s="135" t="s">
        <v>32</v>
      </c>
      <c r="U44" s="135"/>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row>
    <row r="45" spans="1:61" s="58" customFormat="1" ht="62.25" customHeight="1" x14ac:dyDescent="0.2">
      <c r="A45" s="874"/>
      <c r="B45" s="883"/>
      <c r="C45" s="886"/>
      <c r="D45" s="868"/>
      <c r="E45" s="871"/>
      <c r="F45" s="149" t="s">
        <v>1165</v>
      </c>
      <c r="G45" s="574"/>
      <c r="H45" s="574"/>
      <c r="I45" s="574"/>
      <c r="J45" s="574"/>
      <c r="K45" s="574"/>
      <c r="L45" s="574"/>
      <c r="M45" s="574"/>
      <c r="N45" s="574"/>
      <c r="O45" s="574"/>
      <c r="P45" s="574"/>
      <c r="Q45" s="574">
        <v>0.8</v>
      </c>
      <c r="R45" s="574"/>
      <c r="S45" s="575"/>
      <c r="T45" s="135" t="s">
        <v>32</v>
      </c>
      <c r="U45" s="135"/>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row>
    <row r="46" spans="1:61" s="58" customFormat="1" ht="62.25" customHeight="1" x14ac:dyDescent="0.2">
      <c r="A46" s="874"/>
      <c r="B46" s="883"/>
      <c r="C46" s="886"/>
      <c r="D46" s="868"/>
      <c r="E46" s="871"/>
      <c r="F46" s="149" t="s">
        <v>1166</v>
      </c>
      <c r="G46" s="574"/>
      <c r="H46" s="574"/>
      <c r="I46" s="574"/>
      <c r="J46" s="574"/>
      <c r="K46" s="574"/>
      <c r="L46" s="574"/>
      <c r="M46" s="574"/>
      <c r="N46" s="574"/>
      <c r="O46" s="574"/>
      <c r="P46" s="574"/>
      <c r="Q46" s="574">
        <v>0.8</v>
      </c>
      <c r="R46" s="574"/>
      <c r="S46" s="575"/>
      <c r="T46" s="135" t="s">
        <v>32</v>
      </c>
      <c r="U46" s="135"/>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row>
    <row r="47" spans="1:61" s="58" customFormat="1" ht="62.25" customHeight="1" x14ac:dyDescent="0.2">
      <c r="A47" s="874"/>
      <c r="B47" s="883"/>
      <c r="C47" s="886"/>
      <c r="D47" s="868"/>
      <c r="E47" s="871"/>
      <c r="F47" s="149" t="s">
        <v>1167</v>
      </c>
      <c r="G47" s="574"/>
      <c r="H47" s="574"/>
      <c r="I47" s="574"/>
      <c r="J47" s="574"/>
      <c r="K47" s="574"/>
      <c r="L47" s="574"/>
      <c r="M47" s="574"/>
      <c r="N47" s="574"/>
      <c r="O47" s="574"/>
      <c r="P47" s="574"/>
      <c r="Q47" s="574">
        <v>0.8</v>
      </c>
      <c r="R47" s="574"/>
      <c r="S47" s="575"/>
      <c r="T47" s="135" t="s">
        <v>32</v>
      </c>
      <c r="U47" s="135"/>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row>
    <row r="48" spans="1:61" s="58" customFormat="1" ht="62.25" customHeight="1" x14ac:dyDescent="0.2">
      <c r="A48" s="874"/>
      <c r="B48" s="884"/>
      <c r="C48" s="887"/>
      <c r="D48" s="869"/>
      <c r="E48" s="872"/>
      <c r="F48" s="149" t="s">
        <v>1168</v>
      </c>
      <c r="G48" s="574"/>
      <c r="H48" s="574"/>
      <c r="I48" s="574"/>
      <c r="J48" s="574"/>
      <c r="K48" s="574"/>
      <c r="L48" s="574"/>
      <c r="M48" s="574"/>
      <c r="N48" s="574"/>
      <c r="O48" s="574"/>
      <c r="P48" s="574"/>
      <c r="Q48" s="574">
        <v>0.8</v>
      </c>
      <c r="R48" s="574"/>
      <c r="S48" s="575"/>
      <c r="T48" s="135" t="s">
        <v>32</v>
      </c>
      <c r="U48" s="135"/>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row>
    <row r="49" spans="1:61" s="58" customFormat="1" ht="57" customHeight="1" x14ac:dyDescent="0.2">
      <c r="A49" s="875"/>
      <c r="B49" s="149" t="s">
        <v>33</v>
      </c>
      <c r="C49" s="120" t="s">
        <v>34</v>
      </c>
      <c r="D49" s="136" t="s">
        <v>18</v>
      </c>
      <c r="E49" s="576">
        <v>42</v>
      </c>
      <c r="F49" s="149" t="s">
        <v>1169</v>
      </c>
      <c r="G49" s="136">
        <v>2</v>
      </c>
      <c r="H49" s="136">
        <v>2</v>
      </c>
      <c r="I49" s="136">
        <v>2</v>
      </c>
      <c r="J49" s="136">
        <v>4</v>
      </c>
      <c r="K49" s="136">
        <v>4</v>
      </c>
      <c r="L49" s="136">
        <v>4</v>
      </c>
      <c r="M49" s="136">
        <v>4</v>
      </c>
      <c r="N49" s="136">
        <v>4</v>
      </c>
      <c r="O49" s="136">
        <v>4</v>
      </c>
      <c r="P49" s="136">
        <v>4</v>
      </c>
      <c r="Q49" s="136">
        <v>4</v>
      </c>
      <c r="R49" s="136">
        <v>4</v>
      </c>
      <c r="S49" s="575">
        <f>+'Presupuesto Operaciones'!U34</f>
        <v>553800</v>
      </c>
      <c r="T49" s="135" t="s">
        <v>1148</v>
      </c>
      <c r="U49" s="135"/>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row>
    <row r="50" spans="1:61" s="58" customFormat="1" ht="15" x14ac:dyDescent="0.2">
      <c r="A50" s="167"/>
      <c r="B50" s="167"/>
      <c r="C50" s="167"/>
      <c r="D50" s="168"/>
      <c r="E50" s="169"/>
      <c r="F50" s="167"/>
      <c r="G50" s="168"/>
      <c r="H50" s="168"/>
      <c r="I50" s="169"/>
      <c r="J50" s="168"/>
      <c r="K50" s="168"/>
      <c r="L50" s="169"/>
      <c r="M50" s="168"/>
      <c r="N50" s="168"/>
      <c r="O50" s="169"/>
      <c r="P50" s="169"/>
      <c r="Q50" s="169"/>
      <c r="R50" s="169"/>
      <c r="S50" s="123">
        <f>SUM(S17:S49)</f>
        <v>1716549.88</v>
      </c>
      <c r="T50" s="168"/>
      <c r="U50" s="356"/>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row>
    <row r="51" spans="1:61" ht="15" x14ac:dyDescent="0.2">
      <c r="A51" s="126"/>
      <c r="B51" s="101"/>
      <c r="C51" s="126"/>
      <c r="D51" s="101"/>
      <c r="E51" s="101"/>
      <c r="F51" s="126"/>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row>
    <row r="52" spans="1:61" ht="15" x14ac:dyDescent="0.2">
      <c r="A52" s="126"/>
      <c r="B52" s="101"/>
      <c r="C52" s="126"/>
      <c r="D52" s="101"/>
      <c r="E52" s="101"/>
      <c r="F52" s="126"/>
      <c r="G52" s="101"/>
      <c r="H52" s="101"/>
      <c r="I52" s="101"/>
      <c r="J52" s="101"/>
      <c r="K52" s="101"/>
      <c r="L52" s="101"/>
      <c r="M52" s="101"/>
      <c r="N52" s="101"/>
      <c r="O52" s="101"/>
      <c r="P52" s="101"/>
      <c r="Q52" s="101"/>
      <c r="R52" s="101"/>
      <c r="S52" s="170"/>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row>
    <row r="53" spans="1:61" ht="15" x14ac:dyDescent="0.2">
      <c r="A53" s="126"/>
      <c r="B53" s="101"/>
      <c r="C53" s="126"/>
      <c r="D53" s="101"/>
      <c r="E53" s="101"/>
      <c r="F53" s="126"/>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row>
    <row r="55" spans="1:61" ht="15" x14ac:dyDescent="0.2">
      <c r="B55" s="853"/>
      <c r="C55" s="853"/>
      <c r="D55" s="126"/>
      <c r="E55" s="101"/>
      <c r="F55" s="101"/>
      <c r="G55" s="853"/>
      <c r="H55" s="853"/>
      <c r="I55" s="853"/>
      <c r="J55" s="853"/>
      <c r="K55" s="853"/>
      <c r="L55" s="853"/>
      <c r="M55" s="101"/>
      <c r="N55" s="101"/>
      <c r="O55" s="101"/>
      <c r="P55" s="101"/>
      <c r="Q55" s="853"/>
      <c r="R55" s="853"/>
      <c r="S55" s="853"/>
    </row>
    <row r="56" spans="1:61" ht="15" x14ac:dyDescent="0.2">
      <c r="B56" s="854" t="s">
        <v>1045</v>
      </c>
      <c r="C56" s="854"/>
      <c r="D56" s="126"/>
      <c r="E56" s="101"/>
      <c r="F56" s="101"/>
      <c r="G56" s="854" t="s">
        <v>536</v>
      </c>
      <c r="H56" s="854"/>
      <c r="I56" s="854"/>
      <c r="J56" s="854"/>
      <c r="K56" s="854"/>
      <c r="L56" s="854"/>
      <c r="M56" s="101"/>
      <c r="N56" s="151"/>
      <c r="O56" s="101"/>
      <c r="P56" s="151"/>
      <c r="Q56" s="854" t="s">
        <v>537</v>
      </c>
      <c r="R56" s="854"/>
      <c r="S56" s="854"/>
    </row>
    <row r="57" spans="1:61" ht="15" x14ac:dyDescent="0.2">
      <c r="B57" s="851" t="s">
        <v>1046</v>
      </c>
      <c r="C57" s="851"/>
      <c r="D57" s="126"/>
      <c r="E57" s="101"/>
      <c r="F57" s="101"/>
      <c r="G57" s="852" t="s">
        <v>546</v>
      </c>
      <c r="H57" s="852"/>
      <c r="I57" s="852"/>
      <c r="J57" s="852"/>
      <c r="K57" s="852"/>
      <c r="L57" s="852"/>
      <c r="M57" s="101"/>
      <c r="N57" s="101"/>
      <c r="O57" s="101"/>
      <c r="P57" s="101"/>
      <c r="Q57" s="851" t="s">
        <v>538</v>
      </c>
      <c r="R57" s="851"/>
      <c r="S57" s="851"/>
    </row>
  </sheetData>
  <mergeCells count="41">
    <mergeCell ref="D39:D48"/>
    <mergeCell ref="E39:E48"/>
    <mergeCell ref="A17:A36"/>
    <mergeCell ref="A37:A49"/>
    <mergeCell ref="B57:C57"/>
    <mergeCell ref="C27:C36"/>
    <mergeCell ref="B27:B36"/>
    <mergeCell ref="D27:D36"/>
    <mergeCell ref="E27:E36"/>
    <mergeCell ref="B39:B48"/>
    <mergeCell ref="C39:C48"/>
    <mergeCell ref="G57:L57"/>
    <mergeCell ref="Q57:S57"/>
    <mergeCell ref="B55:C55"/>
    <mergeCell ref="G55:L55"/>
    <mergeCell ref="Q55:S55"/>
    <mergeCell ref="B56:C56"/>
    <mergeCell ref="G56:L56"/>
    <mergeCell ref="Q56:S56"/>
    <mergeCell ref="T15:T16"/>
    <mergeCell ref="B17:B26"/>
    <mergeCell ref="C17:C26"/>
    <mergeCell ref="D17:D26"/>
    <mergeCell ref="E17:E26"/>
    <mergeCell ref="S17:S26"/>
    <mergeCell ref="B13:U13"/>
    <mergeCell ref="A8:U8"/>
    <mergeCell ref="A9:U9"/>
    <mergeCell ref="A15:A16"/>
    <mergeCell ref="B15:B16"/>
    <mergeCell ref="C15:C16"/>
    <mergeCell ref="D15:E15"/>
    <mergeCell ref="F15:F16"/>
    <mergeCell ref="G15:I15"/>
    <mergeCell ref="J15:L15"/>
    <mergeCell ref="M15:O15"/>
    <mergeCell ref="P15:R15"/>
    <mergeCell ref="B11:U11"/>
    <mergeCell ref="B12:U12"/>
    <mergeCell ref="S15:S16"/>
    <mergeCell ref="U15:U16"/>
  </mergeCells>
  <pageMargins left="0.23622047244094491" right="0.23622047244094491" top="0.39370078740157483" bottom="0.39370078740157483" header="0.31496062992125984" footer="0.31496062992125984"/>
  <pageSetup paperSize="5" scale="40" fitToHeight="0" orientation="landscape" r:id="rId1"/>
  <headerFooter>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5C942-6DDE-4811-8CD1-085DE7DA6C18}">
  <sheetPr codeName="Sheet6">
    <pageSetUpPr fitToPage="1"/>
  </sheetPr>
  <dimension ref="A10:BI48"/>
  <sheetViews>
    <sheetView workbookViewId="0"/>
  </sheetViews>
  <sheetFormatPr defaultColWidth="11.42578125" defaultRowHeight="14.25" x14ac:dyDescent="0.2"/>
  <cols>
    <col min="1" max="1" width="37.85546875" style="2" bestFit="1" customWidth="1"/>
    <col min="2" max="2" width="46.42578125" style="2" customWidth="1"/>
    <col min="3" max="3" width="22.85546875" style="2" customWidth="1"/>
    <col min="4" max="4" width="24.7109375" style="2" customWidth="1"/>
    <col min="5" max="5" width="11.85546875" style="8" bestFit="1" customWidth="1"/>
    <col min="6" max="6" width="18.5703125" style="2" customWidth="1"/>
    <col min="7" max="7" width="13.140625" style="2" customWidth="1"/>
    <col min="8" max="8" width="21.7109375" style="9" customWidth="1"/>
    <col min="9" max="9" width="18.85546875" style="2" customWidth="1"/>
    <col min="10" max="20" width="25.140625" style="2" customWidth="1"/>
    <col min="21" max="21" width="22.7109375" style="2" bestFit="1" customWidth="1"/>
    <col min="22" max="22" width="52.85546875" style="5" customWidth="1"/>
    <col min="23" max="23" width="21.42578125" style="6" customWidth="1"/>
    <col min="24" max="24" width="5" style="6" customWidth="1"/>
    <col min="25" max="25" width="18.28515625" style="6" customWidth="1"/>
    <col min="26" max="26" width="15.140625" style="6" bestFit="1" customWidth="1"/>
    <col min="27" max="27" width="15.42578125" style="6" customWidth="1"/>
    <col min="28" max="44" width="11.42578125" style="6"/>
    <col min="45" max="16384" width="11.42578125" style="2"/>
  </cols>
  <sheetData>
    <row r="10" spans="1:61" s="62" customFormat="1" ht="19.5" x14ac:dyDescent="0.25">
      <c r="A10" s="858" t="s">
        <v>0</v>
      </c>
      <c r="B10" s="858"/>
      <c r="C10" s="858"/>
      <c r="D10" s="858"/>
      <c r="E10" s="858"/>
      <c r="F10" s="858"/>
      <c r="G10" s="858"/>
      <c r="H10" s="858"/>
      <c r="I10" s="858"/>
      <c r="J10" s="858"/>
      <c r="K10" s="858"/>
      <c r="L10" s="858"/>
      <c r="M10" s="858"/>
      <c r="N10" s="858"/>
      <c r="O10" s="858"/>
      <c r="P10" s="858"/>
      <c r="Q10" s="858"/>
      <c r="R10" s="858"/>
      <c r="S10" s="858"/>
      <c r="T10" s="858"/>
      <c r="U10" s="858"/>
      <c r="V10" s="858"/>
      <c r="W10" s="61"/>
      <c r="X10" s="61"/>
      <c r="Y10" s="61"/>
      <c r="Z10" s="61"/>
      <c r="AA10" s="61"/>
      <c r="AB10" s="61"/>
      <c r="AC10" s="61"/>
      <c r="AD10" s="61"/>
      <c r="AE10" s="61"/>
      <c r="AF10" s="61"/>
      <c r="AG10" s="61"/>
      <c r="AH10" s="61"/>
      <c r="AI10" s="61"/>
      <c r="AJ10" s="61"/>
      <c r="AK10" s="61"/>
      <c r="AL10" s="61"/>
      <c r="AM10" s="61"/>
      <c r="AN10" s="61"/>
      <c r="AO10" s="61"/>
      <c r="AP10" s="61"/>
      <c r="AQ10" s="61"/>
      <c r="AR10" s="61"/>
    </row>
    <row r="11" spans="1:61" s="62" customFormat="1" ht="19.5" x14ac:dyDescent="0.25">
      <c r="A11" s="858" t="s">
        <v>1</v>
      </c>
      <c r="B11" s="858"/>
      <c r="C11" s="858"/>
      <c r="D11" s="858"/>
      <c r="E11" s="858"/>
      <c r="F11" s="858"/>
      <c r="G11" s="858"/>
      <c r="H11" s="858"/>
      <c r="I11" s="858"/>
      <c r="J11" s="858"/>
      <c r="K11" s="858"/>
      <c r="L11" s="858"/>
      <c r="M11" s="858"/>
      <c r="N11" s="858"/>
      <c r="O11" s="858"/>
      <c r="P11" s="858"/>
      <c r="Q11" s="858"/>
      <c r="R11" s="858"/>
      <c r="S11" s="858"/>
      <c r="T11" s="858"/>
      <c r="U11" s="858"/>
      <c r="V11" s="858"/>
      <c r="W11" s="61"/>
      <c r="X11" s="61"/>
      <c r="Y11" s="61"/>
      <c r="Z11" s="61"/>
      <c r="AA11" s="61"/>
      <c r="AB11" s="61"/>
      <c r="AC11" s="61"/>
      <c r="AD11" s="61"/>
      <c r="AE11" s="61"/>
      <c r="AF11" s="61"/>
      <c r="AG11" s="61"/>
      <c r="AH11" s="61"/>
      <c r="AI11" s="61"/>
      <c r="AJ11" s="61"/>
      <c r="AK11" s="61"/>
      <c r="AL11" s="61"/>
      <c r="AM11" s="61"/>
      <c r="AN11" s="61"/>
      <c r="AO11" s="61"/>
      <c r="AP11" s="61"/>
      <c r="AQ11" s="61"/>
      <c r="AR11" s="61"/>
    </row>
    <row r="12" spans="1:61" s="62" customFormat="1" ht="19.5" x14ac:dyDescent="0.25">
      <c r="A12" s="858" t="s">
        <v>42</v>
      </c>
      <c r="B12" s="858"/>
      <c r="C12" s="858"/>
      <c r="D12" s="858"/>
      <c r="E12" s="858"/>
      <c r="F12" s="858"/>
      <c r="G12" s="858"/>
      <c r="H12" s="858"/>
      <c r="I12" s="858"/>
      <c r="J12" s="858"/>
      <c r="K12" s="858"/>
      <c r="L12" s="858"/>
      <c r="M12" s="858"/>
      <c r="N12" s="858"/>
      <c r="O12" s="858"/>
      <c r="P12" s="858"/>
      <c r="Q12" s="858"/>
      <c r="R12" s="858"/>
      <c r="S12" s="858"/>
      <c r="T12" s="858"/>
      <c r="U12" s="858"/>
      <c r="V12" s="858"/>
      <c r="W12" s="61"/>
      <c r="X12" s="61"/>
      <c r="Y12" s="61"/>
      <c r="Z12" s="61"/>
      <c r="AA12" s="61"/>
      <c r="AB12" s="61"/>
      <c r="AC12" s="61"/>
      <c r="AD12" s="61"/>
      <c r="AE12" s="61"/>
      <c r="AF12" s="61"/>
      <c r="AG12" s="61"/>
      <c r="AH12" s="61"/>
      <c r="AI12" s="61"/>
      <c r="AJ12" s="61"/>
      <c r="AK12" s="61"/>
      <c r="AL12" s="61"/>
      <c r="AM12" s="61"/>
      <c r="AN12" s="61"/>
      <c r="AO12" s="61"/>
      <c r="AP12" s="61"/>
      <c r="AQ12" s="61"/>
      <c r="AR12" s="61"/>
    </row>
    <row r="13" spans="1:61" s="62" customFormat="1" ht="19.5" x14ac:dyDescent="0.25">
      <c r="A13" s="540"/>
      <c r="B13" s="540"/>
      <c r="C13" s="540"/>
      <c r="D13" s="540"/>
      <c r="E13" s="540"/>
      <c r="F13" s="540"/>
      <c r="G13" s="540"/>
      <c r="H13" s="540"/>
      <c r="I13" s="540"/>
      <c r="J13" s="540"/>
      <c r="K13" s="540"/>
      <c r="L13" s="540"/>
      <c r="M13" s="540"/>
      <c r="N13" s="540"/>
      <c r="O13" s="540"/>
      <c r="P13" s="540"/>
      <c r="Q13" s="540"/>
      <c r="R13" s="540"/>
      <c r="S13" s="540"/>
      <c r="T13" s="540"/>
      <c r="U13" s="540"/>
      <c r="V13" s="540"/>
      <c r="W13" s="61"/>
      <c r="X13" s="61"/>
      <c r="Y13" s="61"/>
      <c r="Z13" s="61"/>
      <c r="AA13" s="61"/>
      <c r="AB13" s="61"/>
      <c r="AC13" s="61"/>
      <c r="AD13" s="61"/>
      <c r="AE13" s="61"/>
      <c r="AF13" s="61"/>
      <c r="AG13" s="61"/>
      <c r="AH13" s="61"/>
      <c r="AI13" s="61"/>
      <c r="AJ13" s="61"/>
      <c r="AK13" s="61"/>
      <c r="AL13" s="61"/>
      <c r="AM13" s="61"/>
      <c r="AN13" s="61"/>
      <c r="AO13" s="61"/>
      <c r="AP13" s="61"/>
      <c r="AQ13" s="61"/>
      <c r="AR13" s="61"/>
    </row>
    <row r="14" spans="1:61" s="58" customFormat="1" ht="15" x14ac:dyDescent="0.2">
      <c r="A14" s="155" t="s">
        <v>282</v>
      </c>
      <c r="B14" s="848" t="s">
        <v>482</v>
      </c>
      <c r="C14" s="848"/>
      <c r="D14" s="848"/>
      <c r="E14" s="848"/>
      <c r="F14" s="848"/>
      <c r="G14" s="848"/>
      <c r="H14" s="848"/>
      <c r="I14" s="848"/>
      <c r="J14" s="848"/>
      <c r="K14" s="848"/>
      <c r="L14" s="848"/>
      <c r="M14" s="848"/>
      <c r="N14" s="848"/>
      <c r="O14" s="848"/>
      <c r="P14" s="848"/>
      <c r="Q14" s="848"/>
      <c r="R14" s="848"/>
      <c r="S14" s="848"/>
      <c r="T14" s="848"/>
      <c r="U14" s="848"/>
      <c r="V14" s="848"/>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row>
    <row r="15" spans="1:61" s="58" customFormat="1" ht="15" x14ac:dyDescent="0.2">
      <c r="A15" s="155" t="s">
        <v>3</v>
      </c>
      <c r="B15" s="848" t="s">
        <v>4</v>
      </c>
      <c r="C15" s="848"/>
      <c r="D15" s="848"/>
      <c r="E15" s="848"/>
      <c r="F15" s="848"/>
      <c r="G15" s="848"/>
      <c r="H15" s="848"/>
      <c r="I15" s="848"/>
      <c r="J15" s="848"/>
      <c r="K15" s="848"/>
      <c r="L15" s="848"/>
      <c r="M15" s="848"/>
      <c r="N15" s="848"/>
      <c r="O15" s="848"/>
      <c r="P15" s="848"/>
      <c r="Q15" s="848"/>
      <c r="R15" s="848"/>
      <c r="S15" s="848"/>
      <c r="T15" s="848"/>
      <c r="U15" s="848"/>
      <c r="V15" s="848"/>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row>
    <row r="16" spans="1:61" s="58" customFormat="1" ht="15" x14ac:dyDescent="0.2">
      <c r="A16" s="155" t="s">
        <v>5</v>
      </c>
      <c r="B16" s="888" t="s">
        <v>483</v>
      </c>
      <c r="C16" s="889"/>
      <c r="D16" s="889"/>
      <c r="E16" s="889"/>
      <c r="F16" s="889"/>
      <c r="G16" s="889"/>
      <c r="H16" s="889"/>
      <c r="I16" s="889"/>
      <c r="J16" s="889"/>
      <c r="K16" s="889"/>
      <c r="L16" s="889"/>
      <c r="M16" s="889"/>
      <c r="N16" s="889"/>
      <c r="O16" s="889"/>
      <c r="P16" s="889"/>
      <c r="Q16" s="889"/>
      <c r="R16" s="889"/>
      <c r="S16" s="889"/>
      <c r="T16" s="889"/>
      <c r="U16" s="889"/>
      <c r="V16" s="890"/>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row>
    <row r="17" spans="1:44" s="58" customFormat="1" ht="15" x14ac:dyDescent="0.2">
      <c r="A17" s="101"/>
      <c r="B17" s="101"/>
      <c r="C17" s="101"/>
      <c r="D17" s="101"/>
      <c r="E17" s="127"/>
      <c r="F17" s="101"/>
      <c r="G17" s="101"/>
      <c r="H17" s="128"/>
      <c r="I17" s="101"/>
      <c r="J17" s="101"/>
      <c r="K17" s="101"/>
      <c r="L17" s="101"/>
      <c r="M17" s="101"/>
      <c r="N17" s="101"/>
      <c r="O17" s="101"/>
      <c r="P17" s="101"/>
      <c r="Q17" s="101"/>
      <c r="R17" s="101"/>
      <c r="S17" s="101"/>
      <c r="T17" s="101"/>
      <c r="U17" s="101"/>
      <c r="V17" s="126"/>
      <c r="W17" s="64"/>
      <c r="X17" s="64"/>
      <c r="Y17" s="64"/>
      <c r="Z17" s="64"/>
      <c r="AA17" s="64"/>
      <c r="AB17" s="64"/>
      <c r="AC17" s="64"/>
      <c r="AD17" s="64"/>
      <c r="AE17" s="64"/>
      <c r="AF17" s="64"/>
      <c r="AG17" s="64"/>
      <c r="AH17" s="64"/>
      <c r="AI17" s="64"/>
      <c r="AJ17" s="64"/>
      <c r="AK17" s="64"/>
      <c r="AL17" s="64"/>
      <c r="AM17" s="64"/>
      <c r="AN17" s="64"/>
      <c r="AO17" s="64"/>
      <c r="AP17" s="64"/>
      <c r="AQ17" s="64"/>
      <c r="AR17" s="64"/>
    </row>
    <row r="18" spans="1:44" s="58" customFormat="1" ht="15" x14ac:dyDescent="0.2">
      <c r="A18" s="845" t="s">
        <v>6</v>
      </c>
      <c r="B18" s="845" t="s">
        <v>10</v>
      </c>
      <c r="C18" s="845" t="s">
        <v>43</v>
      </c>
      <c r="D18" s="845" t="s">
        <v>44</v>
      </c>
      <c r="E18" s="845" t="s">
        <v>45</v>
      </c>
      <c r="F18" s="845" t="s">
        <v>46</v>
      </c>
      <c r="G18" s="845" t="s">
        <v>47</v>
      </c>
      <c r="H18" s="845" t="s">
        <v>48</v>
      </c>
      <c r="I18" s="847" t="s">
        <v>11</v>
      </c>
      <c r="J18" s="847"/>
      <c r="K18" s="847"/>
      <c r="L18" s="847" t="s">
        <v>12</v>
      </c>
      <c r="M18" s="847"/>
      <c r="N18" s="847"/>
      <c r="O18" s="847" t="s">
        <v>13</v>
      </c>
      <c r="P18" s="847"/>
      <c r="Q18" s="847"/>
      <c r="R18" s="847" t="s">
        <v>14</v>
      </c>
      <c r="S18" s="847"/>
      <c r="T18" s="847"/>
      <c r="U18" s="845" t="s">
        <v>15</v>
      </c>
      <c r="V18" s="845" t="s">
        <v>232</v>
      </c>
      <c r="W18" s="64"/>
      <c r="X18" s="64"/>
      <c r="Y18" s="64"/>
      <c r="Z18" s="64"/>
      <c r="AA18" s="64"/>
      <c r="AB18" s="64"/>
      <c r="AC18" s="64"/>
      <c r="AD18" s="64"/>
      <c r="AE18" s="64"/>
      <c r="AF18" s="64"/>
      <c r="AG18" s="64"/>
      <c r="AH18" s="64"/>
      <c r="AI18" s="64"/>
      <c r="AJ18" s="64"/>
      <c r="AK18" s="64"/>
      <c r="AL18" s="64"/>
      <c r="AM18" s="64"/>
      <c r="AN18" s="64"/>
      <c r="AO18" s="64"/>
      <c r="AP18" s="64"/>
      <c r="AQ18" s="64"/>
      <c r="AR18" s="64"/>
    </row>
    <row r="19" spans="1:44" s="60" customFormat="1" ht="24" customHeight="1" x14ac:dyDescent="0.25">
      <c r="A19" s="845"/>
      <c r="B19" s="845"/>
      <c r="C19" s="845"/>
      <c r="D19" s="845"/>
      <c r="E19" s="845"/>
      <c r="F19" s="845"/>
      <c r="G19" s="845"/>
      <c r="H19" s="845"/>
      <c r="I19" s="96" t="s">
        <v>19</v>
      </c>
      <c r="J19" s="96" t="s">
        <v>20</v>
      </c>
      <c r="K19" s="96" t="s">
        <v>21</v>
      </c>
      <c r="L19" s="96" t="s">
        <v>22</v>
      </c>
      <c r="M19" s="96" t="s">
        <v>23</v>
      </c>
      <c r="N19" s="96" t="s">
        <v>24</v>
      </c>
      <c r="O19" s="96" t="s">
        <v>25</v>
      </c>
      <c r="P19" s="96" t="s">
        <v>26</v>
      </c>
      <c r="Q19" s="96" t="s">
        <v>27</v>
      </c>
      <c r="R19" s="96" t="s">
        <v>28</v>
      </c>
      <c r="S19" s="96" t="s">
        <v>29</v>
      </c>
      <c r="T19" s="96" t="s">
        <v>30</v>
      </c>
      <c r="U19" s="845"/>
      <c r="V19" s="845"/>
      <c r="W19" s="65"/>
      <c r="X19" s="65"/>
      <c r="Y19" s="65"/>
      <c r="Z19" s="65"/>
      <c r="AA19" s="65"/>
      <c r="AB19" s="65"/>
      <c r="AC19" s="65"/>
      <c r="AD19" s="65"/>
      <c r="AE19" s="65"/>
      <c r="AF19" s="65"/>
      <c r="AG19" s="65"/>
      <c r="AH19" s="65"/>
      <c r="AI19" s="65"/>
      <c r="AJ19" s="65"/>
      <c r="AK19" s="65"/>
      <c r="AL19" s="65"/>
      <c r="AM19" s="65"/>
      <c r="AN19" s="65"/>
      <c r="AO19" s="65"/>
      <c r="AP19" s="65"/>
      <c r="AQ19" s="65"/>
      <c r="AR19" s="65"/>
    </row>
    <row r="20" spans="1:44" s="66" customFormat="1" ht="54.75" customHeight="1" x14ac:dyDescent="0.2">
      <c r="A20" s="146" t="s">
        <v>1093</v>
      </c>
      <c r="B20" s="132" t="s">
        <v>1277</v>
      </c>
      <c r="C20" s="107" t="s">
        <v>486</v>
      </c>
      <c r="D20" s="107" t="s">
        <v>51</v>
      </c>
      <c r="E20" s="145" t="s">
        <v>52</v>
      </c>
      <c r="F20" s="107" t="s">
        <v>138</v>
      </c>
      <c r="G20" s="145">
        <v>100</v>
      </c>
      <c r="H20" s="171">
        <v>1500</v>
      </c>
      <c r="I20" s="108">
        <v>0</v>
      </c>
      <c r="J20" s="108">
        <v>0</v>
      </c>
      <c r="K20" s="108">
        <v>0</v>
      </c>
      <c r="L20" s="172">
        <f>+G20*H20</f>
        <v>150000</v>
      </c>
      <c r="M20" s="108">
        <v>0</v>
      </c>
      <c r="N20" s="108">
        <v>0</v>
      </c>
      <c r="O20" s="108">
        <v>0</v>
      </c>
      <c r="P20" s="108">
        <v>0</v>
      </c>
      <c r="Q20" s="108">
        <v>0</v>
      </c>
      <c r="R20" s="108">
        <v>0</v>
      </c>
      <c r="S20" s="108">
        <v>0</v>
      </c>
      <c r="T20" s="108">
        <v>0</v>
      </c>
      <c r="U20" s="173">
        <f>SUM(I20:T20)</f>
        <v>150000</v>
      </c>
      <c r="V20" s="174"/>
    </row>
    <row r="21" spans="1:44" s="59" customFormat="1" ht="65.25" customHeight="1" x14ac:dyDescent="0.2">
      <c r="A21" s="874"/>
      <c r="B21" s="891" t="s">
        <v>946</v>
      </c>
      <c r="C21" s="175" t="s">
        <v>486</v>
      </c>
      <c r="D21" s="175" t="s">
        <v>53</v>
      </c>
      <c r="E21" s="175" t="str">
        <f>'[1]Table 1'!$A$590</f>
        <v>2.6.2.1.01</v>
      </c>
      <c r="F21" s="175" t="s">
        <v>138</v>
      </c>
      <c r="G21" s="175">
        <v>2</v>
      </c>
      <c r="H21" s="177">
        <v>45000</v>
      </c>
      <c r="I21" s="178"/>
      <c r="J21" s="178"/>
      <c r="K21" s="178"/>
      <c r="L21" s="179">
        <v>90000</v>
      </c>
      <c r="M21" s="178"/>
      <c r="N21" s="180"/>
      <c r="O21" s="178"/>
      <c r="P21" s="178"/>
      <c r="Q21" s="178"/>
      <c r="R21" s="178"/>
      <c r="S21" s="178"/>
      <c r="T21" s="178"/>
      <c r="U21" s="180">
        <f>SUM(I21:T21)</f>
        <v>90000</v>
      </c>
      <c r="V21" s="434" t="s">
        <v>54</v>
      </c>
      <c r="W21" s="68"/>
      <c r="X21" s="68"/>
      <c r="Y21" s="68"/>
      <c r="Z21" s="68"/>
      <c r="AA21" s="68"/>
      <c r="AB21" s="68"/>
      <c r="AC21" s="68"/>
      <c r="AD21" s="68"/>
      <c r="AE21" s="68"/>
      <c r="AF21" s="68"/>
      <c r="AG21" s="68"/>
      <c r="AH21" s="68"/>
      <c r="AI21" s="68"/>
      <c r="AJ21" s="68"/>
      <c r="AK21" s="68"/>
      <c r="AL21" s="68"/>
      <c r="AM21" s="68"/>
      <c r="AN21" s="68"/>
      <c r="AO21" s="68"/>
      <c r="AP21" s="68"/>
      <c r="AQ21" s="68"/>
      <c r="AR21" s="68"/>
    </row>
    <row r="22" spans="1:44" s="64" customFormat="1" ht="60" x14ac:dyDescent="0.2">
      <c r="A22" s="874"/>
      <c r="B22" s="892"/>
      <c r="C22" s="175" t="s">
        <v>486</v>
      </c>
      <c r="D22" s="175" t="s">
        <v>614</v>
      </c>
      <c r="E22" s="176" t="s">
        <v>162</v>
      </c>
      <c r="F22" s="175" t="s">
        <v>138</v>
      </c>
      <c r="G22" s="176">
        <v>3</v>
      </c>
      <c r="H22" s="180" t="s">
        <v>618</v>
      </c>
      <c r="I22" s="178"/>
      <c r="J22" s="180"/>
      <c r="K22" s="180"/>
      <c r="L22" s="180"/>
      <c r="M22" s="180"/>
      <c r="N22" s="180"/>
      <c r="O22" s="180">
        <f>50000*3</f>
        <v>150000</v>
      </c>
      <c r="P22" s="180"/>
      <c r="Q22" s="180"/>
      <c r="R22" s="180"/>
      <c r="S22" s="180"/>
      <c r="T22" s="180"/>
      <c r="U22" s="180">
        <f t="shared" ref="U22:U33" si="0">SUM(I22:T22)</f>
        <v>150000</v>
      </c>
      <c r="V22" s="181" t="s">
        <v>547</v>
      </c>
      <c r="W22" s="69"/>
    </row>
    <row r="23" spans="1:44" s="64" customFormat="1" ht="60" x14ac:dyDescent="0.2">
      <c r="A23" s="874"/>
      <c r="B23" s="892"/>
      <c r="C23" s="175" t="s">
        <v>486</v>
      </c>
      <c r="D23" s="175" t="s">
        <v>615</v>
      </c>
      <c r="E23" s="176" t="s">
        <v>162</v>
      </c>
      <c r="F23" s="175" t="s">
        <v>138</v>
      </c>
      <c r="G23" s="176">
        <v>7</v>
      </c>
      <c r="H23" s="180" t="s">
        <v>619</v>
      </c>
      <c r="I23" s="178"/>
      <c r="J23" s="180"/>
      <c r="K23" s="180"/>
      <c r="L23" s="180"/>
      <c r="M23" s="180"/>
      <c r="N23" s="180"/>
      <c r="O23" s="180">
        <f>7*2200</f>
        <v>15400</v>
      </c>
      <c r="P23" s="180"/>
      <c r="Q23" s="180"/>
      <c r="R23" s="180"/>
      <c r="S23" s="180"/>
      <c r="T23" s="180"/>
      <c r="U23" s="180">
        <f t="shared" si="0"/>
        <v>15400</v>
      </c>
      <c r="V23" s="181" t="s">
        <v>547</v>
      </c>
      <c r="W23" s="69"/>
    </row>
    <row r="24" spans="1:44" s="64" customFormat="1" ht="65.25" customHeight="1" x14ac:dyDescent="0.2">
      <c r="A24" s="874"/>
      <c r="B24" s="892"/>
      <c r="C24" s="175" t="s">
        <v>486</v>
      </c>
      <c r="D24" s="175" t="s">
        <v>616</v>
      </c>
      <c r="E24" s="176" t="s">
        <v>162</v>
      </c>
      <c r="F24" s="175" t="s">
        <v>138</v>
      </c>
      <c r="G24" s="176">
        <v>6</v>
      </c>
      <c r="H24" s="180" t="s">
        <v>620</v>
      </c>
      <c r="I24" s="178"/>
      <c r="J24" s="180"/>
      <c r="K24" s="180"/>
      <c r="L24" s="180"/>
      <c r="M24" s="180"/>
      <c r="N24" s="180"/>
      <c r="O24" s="180">
        <f>6*3800</f>
        <v>22800</v>
      </c>
      <c r="P24" s="180"/>
      <c r="Q24" s="180"/>
      <c r="R24" s="180"/>
      <c r="S24" s="180"/>
      <c r="T24" s="180"/>
      <c r="U24" s="180">
        <f t="shared" si="0"/>
        <v>22800</v>
      </c>
      <c r="V24" s="181" t="s">
        <v>547</v>
      </c>
      <c r="W24" s="69"/>
    </row>
    <row r="25" spans="1:44" s="64" customFormat="1" ht="65.25" customHeight="1" x14ac:dyDescent="0.2">
      <c r="A25" s="874"/>
      <c r="B25" s="892"/>
      <c r="C25" s="175" t="s">
        <v>486</v>
      </c>
      <c r="D25" s="175" t="s">
        <v>617</v>
      </c>
      <c r="E25" s="176" t="s">
        <v>162</v>
      </c>
      <c r="F25" s="175" t="s">
        <v>138</v>
      </c>
      <c r="G25" s="176">
        <v>2</v>
      </c>
      <c r="H25" s="180" t="s">
        <v>621</v>
      </c>
      <c r="I25" s="178"/>
      <c r="J25" s="180"/>
      <c r="K25" s="180"/>
      <c r="L25" s="180"/>
      <c r="M25" s="180"/>
      <c r="N25" s="180"/>
      <c r="O25" s="180">
        <f>2*8800</f>
        <v>17600</v>
      </c>
      <c r="P25" s="180"/>
      <c r="Q25" s="180"/>
      <c r="R25" s="180"/>
      <c r="S25" s="180"/>
      <c r="T25" s="180"/>
      <c r="U25" s="180">
        <f t="shared" si="0"/>
        <v>17600</v>
      </c>
      <c r="V25" s="181" t="s">
        <v>547</v>
      </c>
      <c r="W25" s="69"/>
    </row>
    <row r="26" spans="1:44" s="64" customFormat="1" ht="65.25" customHeight="1" x14ac:dyDescent="0.2">
      <c r="A26" s="874"/>
      <c r="B26" s="892"/>
      <c r="C26" s="175" t="s">
        <v>486</v>
      </c>
      <c r="D26" s="175" t="s">
        <v>622</v>
      </c>
      <c r="E26" s="176" t="s">
        <v>147</v>
      </c>
      <c r="F26" s="175" t="s">
        <v>138</v>
      </c>
      <c r="G26" s="176">
        <v>4</v>
      </c>
      <c r="H26" s="180" t="s">
        <v>630</v>
      </c>
      <c r="I26" s="178"/>
      <c r="J26" s="180"/>
      <c r="K26" s="180"/>
      <c r="L26" s="180">
        <f>4*10000</f>
        <v>40000</v>
      </c>
      <c r="M26" s="180"/>
      <c r="N26" s="180"/>
      <c r="O26" s="180"/>
      <c r="P26" s="180"/>
      <c r="Q26" s="180"/>
      <c r="R26" s="180"/>
      <c r="S26" s="180"/>
      <c r="T26" s="180"/>
      <c r="U26" s="180">
        <f t="shared" si="0"/>
        <v>40000</v>
      </c>
      <c r="V26" s="181" t="s">
        <v>547</v>
      </c>
      <c r="W26" s="69"/>
    </row>
    <row r="27" spans="1:44" s="64" customFormat="1" ht="65.25" customHeight="1" x14ac:dyDescent="0.2">
      <c r="A27" s="874"/>
      <c r="B27" s="892"/>
      <c r="C27" s="175" t="s">
        <v>486</v>
      </c>
      <c r="D27" s="175" t="s">
        <v>623</v>
      </c>
      <c r="E27" s="176" t="s">
        <v>147</v>
      </c>
      <c r="F27" s="175" t="s">
        <v>138</v>
      </c>
      <c r="G27" s="176">
        <v>9</v>
      </c>
      <c r="H27" s="180" t="s">
        <v>631</v>
      </c>
      <c r="I27" s="178"/>
      <c r="J27" s="180"/>
      <c r="K27" s="180"/>
      <c r="L27" s="180">
        <f>9*8000</f>
        <v>72000</v>
      </c>
      <c r="M27" s="180"/>
      <c r="N27" s="180"/>
      <c r="O27" s="180"/>
      <c r="P27" s="180"/>
      <c r="Q27" s="180"/>
      <c r="R27" s="180"/>
      <c r="S27" s="180"/>
      <c r="T27" s="180"/>
      <c r="U27" s="180">
        <f t="shared" si="0"/>
        <v>72000</v>
      </c>
      <c r="V27" s="181" t="s">
        <v>547</v>
      </c>
      <c r="W27" s="69"/>
    </row>
    <row r="28" spans="1:44" s="64" customFormat="1" ht="65.25" customHeight="1" x14ac:dyDescent="0.2">
      <c r="A28" s="874"/>
      <c r="B28" s="892"/>
      <c r="C28" s="175" t="s">
        <v>486</v>
      </c>
      <c r="D28" s="175" t="s">
        <v>624</v>
      </c>
      <c r="E28" s="176" t="s">
        <v>147</v>
      </c>
      <c r="F28" s="175" t="s">
        <v>138</v>
      </c>
      <c r="G28" s="176">
        <v>8</v>
      </c>
      <c r="H28" s="180" t="s">
        <v>632</v>
      </c>
      <c r="I28" s="178"/>
      <c r="J28" s="180"/>
      <c r="K28" s="180"/>
      <c r="L28" s="180">
        <f>8*4500</f>
        <v>36000</v>
      </c>
      <c r="M28" s="180"/>
      <c r="N28" s="180"/>
      <c r="O28" s="180"/>
      <c r="P28" s="180"/>
      <c r="Q28" s="180"/>
      <c r="R28" s="180"/>
      <c r="S28" s="180"/>
      <c r="T28" s="180"/>
      <c r="U28" s="180">
        <f t="shared" si="0"/>
        <v>36000</v>
      </c>
      <c r="V28" s="181" t="s">
        <v>547</v>
      </c>
      <c r="W28" s="69"/>
    </row>
    <row r="29" spans="1:44" customFormat="1" ht="65.25" customHeight="1" x14ac:dyDescent="0.25">
      <c r="A29" s="874"/>
      <c r="B29" s="892"/>
      <c r="C29" s="175" t="s">
        <v>486</v>
      </c>
      <c r="D29" s="175" t="s">
        <v>625</v>
      </c>
      <c r="E29" s="176" t="s">
        <v>147</v>
      </c>
      <c r="F29" s="175" t="s">
        <v>138</v>
      </c>
      <c r="G29" s="176">
        <v>4</v>
      </c>
      <c r="H29" s="180" t="s">
        <v>633</v>
      </c>
      <c r="I29" s="178"/>
      <c r="J29" s="180"/>
      <c r="K29" s="180"/>
      <c r="L29" s="180">
        <f>4*32000</f>
        <v>128000</v>
      </c>
      <c r="M29" s="180"/>
      <c r="N29" s="180"/>
      <c r="O29" s="180"/>
      <c r="P29" s="180"/>
      <c r="Q29" s="180"/>
      <c r="R29" s="180"/>
      <c r="S29" s="180"/>
      <c r="T29" s="180"/>
      <c r="U29" s="180">
        <f t="shared" si="0"/>
        <v>128000</v>
      </c>
      <c r="V29" s="181" t="s">
        <v>547</v>
      </c>
    </row>
    <row r="30" spans="1:44" customFormat="1" ht="65.25" customHeight="1" x14ac:dyDescent="0.25">
      <c r="A30" s="874"/>
      <c r="B30" s="892"/>
      <c r="C30" s="175" t="s">
        <v>486</v>
      </c>
      <c r="D30" s="175" t="s">
        <v>626</v>
      </c>
      <c r="E30" s="176" t="s">
        <v>147</v>
      </c>
      <c r="F30" s="175" t="s">
        <v>138</v>
      </c>
      <c r="G30" s="176">
        <v>8</v>
      </c>
      <c r="H30" s="180" t="s">
        <v>634</v>
      </c>
      <c r="I30" s="178"/>
      <c r="J30" s="180"/>
      <c r="K30" s="180"/>
      <c r="L30" s="180">
        <f>8*1000</f>
        <v>8000</v>
      </c>
      <c r="M30" s="180"/>
      <c r="N30" s="180"/>
      <c r="O30" s="180"/>
      <c r="P30" s="180"/>
      <c r="Q30" s="180"/>
      <c r="R30" s="180"/>
      <c r="S30" s="180"/>
      <c r="T30" s="180"/>
      <c r="U30" s="180">
        <f t="shared" si="0"/>
        <v>8000</v>
      </c>
      <c r="V30" s="181" t="s">
        <v>547</v>
      </c>
    </row>
    <row r="31" spans="1:44" customFormat="1" ht="65.25" customHeight="1" x14ac:dyDescent="0.25">
      <c r="A31" s="874"/>
      <c r="B31" s="892"/>
      <c r="C31" s="175" t="s">
        <v>486</v>
      </c>
      <c r="D31" s="175" t="s">
        <v>627</v>
      </c>
      <c r="E31" s="176" t="s">
        <v>147</v>
      </c>
      <c r="F31" s="175" t="s">
        <v>138</v>
      </c>
      <c r="G31" s="176">
        <v>4</v>
      </c>
      <c r="H31" s="180" t="s">
        <v>635</v>
      </c>
      <c r="I31" s="178"/>
      <c r="J31" s="180"/>
      <c r="K31" s="180"/>
      <c r="L31" s="180">
        <f>4*4000</f>
        <v>16000</v>
      </c>
      <c r="M31" s="180"/>
      <c r="N31" s="180"/>
      <c r="O31" s="180"/>
      <c r="P31" s="180"/>
      <c r="Q31" s="180"/>
      <c r="R31" s="180"/>
      <c r="S31" s="180"/>
      <c r="T31" s="180"/>
      <c r="U31" s="180">
        <f t="shared" si="0"/>
        <v>16000</v>
      </c>
      <c r="V31" s="181" t="s">
        <v>547</v>
      </c>
    </row>
    <row r="32" spans="1:44" customFormat="1" ht="65.25" customHeight="1" x14ac:dyDescent="0.25">
      <c r="A32" s="874"/>
      <c r="B32" s="892"/>
      <c r="C32" s="175" t="s">
        <v>486</v>
      </c>
      <c r="D32" s="175" t="s">
        <v>628</v>
      </c>
      <c r="E32" s="176" t="s">
        <v>147</v>
      </c>
      <c r="F32" s="175" t="s">
        <v>138</v>
      </c>
      <c r="G32" s="176">
        <v>4</v>
      </c>
      <c r="H32" s="180" t="s">
        <v>636</v>
      </c>
      <c r="I32" s="178"/>
      <c r="J32" s="180"/>
      <c r="K32" s="180"/>
      <c r="L32" s="180"/>
      <c r="M32" s="180"/>
      <c r="N32" s="180"/>
      <c r="O32" s="180">
        <f>4*50000</f>
        <v>200000</v>
      </c>
      <c r="P32" s="180"/>
      <c r="Q32" s="180"/>
      <c r="R32" s="180"/>
      <c r="S32" s="180"/>
      <c r="T32" s="180"/>
      <c r="U32" s="180">
        <f t="shared" si="0"/>
        <v>200000</v>
      </c>
      <c r="V32" s="181" t="s">
        <v>547</v>
      </c>
    </row>
    <row r="33" spans="1:44" customFormat="1" ht="65.25" customHeight="1" x14ac:dyDescent="0.25">
      <c r="A33" s="874"/>
      <c r="B33" s="893"/>
      <c r="C33" s="175" t="s">
        <v>486</v>
      </c>
      <c r="D33" s="175" t="s">
        <v>629</v>
      </c>
      <c r="E33" s="176" t="s">
        <v>147</v>
      </c>
      <c r="F33" s="175" t="s">
        <v>138</v>
      </c>
      <c r="G33" s="176">
        <v>6</v>
      </c>
      <c r="H33" s="180" t="s">
        <v>637</v>
      </c>
      <c r="I33" s="178"/>
      <c r="J33" s="180"/>
      <c r="K33" s="180"/>
      <c r="L33" s="180">
        <f>6*36155</f>
        <v>216930</v>
      </c>
      <c r="M33" s="180"/>
      <c r="N33" s="180"/>
      <c r="O33" s="180"/>
      <c r="P33" s="180"/>
      <c r="Q33" s="180"/>
      <c r="R33" s="180"/>
      <c r="S33" s="180"/>
      <c r="T33" s="180"/>
      <c r="U33" s="180">
        <f t="shared" si="0"/>
        <v>216930</v>
      </c>
      <c r="V33" s="181" t="s">
        <v>547</v>
      </c>
    </row>
    <row r="34" spans="1:44" s="711" customFormat="1" ht="38.25" customHeight="1" x14ac:dyDescent="0.2">
      <c r="A34" s="875"/>
      <c r="B34" s="159" t="s">
        <v>1169</v>
      </c>
      <c r="C34" s="175" t="s">
        <v>50</v>
      </c>
      <c r="D34" s="175" t="s">
        <v>130</v>
      </c>
      <c r="E34" s="176" t="s">
        <v>69</v>
      </c>
      <c r="F34" s="175" t="s">
        <v>484</v>
      </c>
      <c r="G34" s="709">
        <v>3</v>
      </c>
      <c r="H34" s="177">
        <v>7100</v>
      </c>
      <c r="I34" s="710">
        <f>2*H34</f>
        <v>14200</v>
      </c>
      <c r="J34" s="710">
        <f>2*H34</f>
        <v>14200</v>
      </c>
      <c r="K34" s="710">
        <f>2*H34</f>
        <v>14200</v>
      </c>
      <c r="L34" s="710">
        <f>4*H34</f>
        <v>28400</v>
      </c>
      <c r="M34" s="710">
        <f>4*H34</f>
        <v>28400</v>
      </c>
      <c r="N34" s="710">
        <f>4*H34</f>
        <v>28400</v>
      </c>
      <c r="O34" s="710">
        <f>4*H34</f>
        <v>28400</v>
      </c>
      <c r="P34" s="710">
        <f t="shared" ref="P34:T34" si="1">4*I34</f>
        <v>56800</v>
      </c>
      <c r="Q34" s="710">
        <f t="shared" si="1"/>
        <v>56800</v>
      </c>
      <c r="R34" s="710">
        <f t="shared" si="1"/>
        <v>56800</v>
      </c>
      <c r="S34" s="710">
        <f t="shared" si="1"/>
        <v>113600</v>
      </c>
      <c r="T34" s="710">
        <f t="shared" si="1"/>
        <v>113600</v>
      </c>
      <c r="U34" s="180">
        <f>SUM(I34:T34)</f>
        <v>553800</v>
      </c>
      <c r="V34" s="181"/>
    </row>
    <row r="35" spans="1:44" s="58" customFormat="1" ht="15" x14ac:dyDescent="0.2">
      <c r="A35" s="182"/>
      <c r="B35" s="182"/>
      <c r="C35" s="182"/>
      <c r="D35" s="182"/>
      <c r="E35" s="183"/>
      <c r="F35" s="894"/>
      <c r="G35" s="847"/>
      <c r="H35" s="847"/>
      <c r="I35" s="184">
        <f>SUM(I20:I34)</f>
        <v>14200</v>
      </c>
      <c r="J35" s="184">
        <f t="shared" ref="J35:T35" si="2">SUM(J20:J34)</f>
        <v>14200</v>
      </c>
      <c r="K35" s="184">
        <f t="shared" si="2"/>
        <v>14200</v>
      </c>
      <c r="L35" s="184">
        <f t="shared" si="2"/>
        <v>785330</v>
      </c>
      <c r="M35" s="184">
        <f t="shared" si="2"/>
        <v>28400</v>
      </c>
      <c r="N35" s="184">
        <f t="shared" si="2"/>
        <v>28400</v>
      </c>
      <c r="O35" s="184">
        <f t="shared" si="2"/>
        <v>434200</v>
      </c>
      <c r="P35" s="184">
        <f t="shared" si="2"/>
        <v>56800</v>
      </c>
      <c r="Q35" s="184">
        <f t="shared" si="2"/>
        <v>56800</v>
      </c>
      <c r="R35" s="184">
        <f t="shared" si="2"/>
        <v>56800</v>
      </c>
      <c r="S35" s="184">
        <f t="shared" si="2"/>
        <v>113600</v>
      </c>
      <c r="T35" s="184">
        <f t="shared" si="2"/>
        <v>113600</v>
      </c>
      <c r="U35" s="185">
        <f>SUM(U20:U34)</f>
        <v>1716530</v>
      </c>
      <c r="V35" s="712"/>
      <c r="W35" s="69"/>
      <c r="X35" s="64"/>
      <c r="Y35" s="64"/>
      <c r="Z35" s="64"/>
      <c r="AA35" s="64"/>
      <c r="AB35" s="64"/>
      <c r="AC35" s="64"/>
      <c r="AD35" s="64"/>
      <c r="AE35" s="64"/>
      <c r="AF35" s="64"/>
      <c r="AG35" s="64"/>
      <c r="AH35" s="64"/>
      <c r="AI35" s="64"/>
      <c r="AJ35" s="64"/>
      <c r="AK35" s="64"/>
      <c r="AL35" s="64"/>
      <c r="AM35" s="64"/>
      <c r="AN35" s="64"/>
      <c r="AO35" s="64"/>
      <c r="AP35" s="64"/>
      <c r="AQ35" s="64"/>
      <c r="AR35" s="64"/>
    </row>
    <row r="36" spans="1:44" ht="15" x14ac:dyDescent="0.2">
      <c r="A36" s="101"/>
      <c r="B36" s="101"/>
      <c r="C36" s="101"/>
      <c r="D36" s="101"/>
      <c r="E36" s="127"/>
      <c r="F36" s="101"/>
      <c r="G36" s="101"/>
      <c r="H36" s="128"/>
      <c r="I36" s="101"/>
      <c r="J36" s="101"/>
      <c r="K36" s="101"/>
      <c r="L36" s="101"/>
      <c r="M36" s="101"/>
      <c r="N36" s="101"/>
      <c r="O36" s="101"/>
      <c r="P36" s="101"/>
      <c r="Q36" s="101"/>
      <c r="R36" s="101"/>
      <c r="S36" s="101"/>
      <c r="T36" s="101"/>
      <c r="U36" s="101"/>
      <c r="V36" s="126"/>
      <c r="W36" s="7"/>
    </row>
    <row r="37" spans="1:44" ht="15" x14ac:dyDescent="0.2">
      <c r="A37" s="101"/>
      <c r="B37" s="101"/>
      <c r="C37" s="101"/>
      <c r="D37" s="101"/>
      <c r="E37" s="127"/>
      <c r="F37" s="101"/>
      <c r="G37" s="101"/>
      <c r="H37" s="128"/>
      <c r="I37" s="101"/>
      <c r="J37" s="101"/>
      <c r="K37" s="101"/>
      <c r="L37" s="101"/>
      <c r="M37" s="101"/>
      <c r="N37" s="101"/>
      <c r="O37" s="101"/>
      <c r="P37" s="101"/>
      <c r="Q37" s="101"/>
      <c r="R37" s="101"/>
      <c r="S37" s="101"/>
      <c r="T37" s="101"/>
      <c r="U37" s="101"/>
      <c r="V37" s="126"/>
    </row>
    <row r="39" spans="1:44" ht="15" x14ac:dyDescent="0.2">
      <c r="F39" s="101"/>
    </row>
    <row r="40" spans="1:44" ht="15" x14ac:dyDescent="0.2">
      <c r="F40" s="101"/>
    </row>
    <row r="41" spans="1:44" ht="15" x14ac:dyDescent="0.2">
      <c r="C41" s="853"/>
      <c r="D41" s="853"/>
      <c r="E41" s="126"/>
      <c r="F41" s="101"/>
      <c r="G41" s="101"/>
      <c r="H41" s="101"/>
      <c r="I41" s="475"/>
      <c r="J41" s="475"/>
      <c r="K41" s="475"/>
      <c r="L41" s="475"/>
      <c r="M41" s="101"/>
      <c r="N41" s="101"/>
      <c r="O41" s="101"/>
      <c r="P41" s="101"/>
      <c r="Q41" s="101"/>
      <c r="R41" s="853"/>
      <c r="S41" s="853"/>
      <c r="T41" s="853"/>
    </row>
    <row r="42" spans="1:44" ht="15" x14ac:dyDescent="0.2">
      <c r="C42" s="854" t="s">
        <v>1045</v>
      </c>
      <c r="D42" s="854"/>
      <c r="E42" s="126"/>
      <c r="F42" s="101"/>
      <c r="G42" s="101"/>
      <c r="H42" s="151"/>
      <c r="I42" s="854" t="s">
        <v>536</v>
      </c>
      <c r="J42" s="854"/>
      <c r="K42" s="854"/>
      <c r="L42" s="854"/>
      <c r="M42" s="151"/>
      <c r="N42" s="101"/>
      <c r="O42" s="151"/>
      <c r="P42" s="101"/>
      <c r="Q42" s="151"/>
      <c r="R42" s="854" t="s">
        <v>537</v>
      </c>
      <c r="S42" s="854"/>
      <c r="T42" s="854"/>
    </row>
    <row r="43" spans="1:44" ht="15" customHeight="1" x14ac:dyDescent="0.2">
      <c r="C43" s="851" t="s">
        <v>1046</v>
      </c>
      <c r="D43" s="851"/>
      <c r="E43" s="126"/>
      <c r="F43" s="101"/>
      <c r="G43" s="101"/>
      <c r="H43" s="126"/>
      <c r="I43" s="852" t="s">
        <v>546</v>
      </c>
      <c r="J43" s="852"/>
      <c r="K43" s="852"/>
      <c r="L43" s="852"/>
      <c r="M43" s="126"/>
      <c r="N43" s="101"/>
      <c r="O43" s="101"/>
      <c r="P43" s="101"/>
      <c r="Q43" s="101"/>
      <c r="R43" s="851" t="s">
        <v>538</v>
      </c>
      <c r="S43" s="851"/>
      <c r="T43" s="851"/>
    </row>
    <row r="44" spans="1:44" ht="15" x14ac:dyDescent="0.2">
      <c r="F44" s="101"/>
    </row>
    <row r="45" spans="1:44" ht="15" x14ac:dyDescent="0.2">
      <c r="F45" s="101"/>
    </row>
    <row r="46" spans="1:44" ht="15" x14ac:dyDescent="0.2">
      <c r="F46" s="101"/>
    </row>
    <row r="47" spans="1:44" ht="15" x14ac:dyDescent="0.2">
      <c r="F47" s="101"/>
    </row>
    <row r="48" spans="1:44" ht="15" x14ac:dyDescent="0.2">
      <c r="F48" s="101"/>
    </row>
  </sheetData>
  <mergeCells count="31">
    <mergeCell ref="F35:H35"/>
    <mergeCell ref="C43:D43"/>
    <mergeCell ref="R43:T43"/>
    <mergeCell ref="I42:L42"/>
    <mergeCell ref="I43:L43"/>
    <mergeCell ref="C41:D41"/>
    <mergeCell ref="R41:T41"/>
    <mergeCell ref="C42:D42"/>
    <mergeCell ref="R42:T42"/>
    <mergeCell ref="C18:C19"/>
    <mergeCell ref="D18:D19"/>
    <mergeCell ref="E18:E19"/>
    <mergeCell ref="F18:F19"/>
    <mergeCell ref="A21:A34"/>
    <mergeCell ref="B21:B33"/>
    <mergeCell ref="A10:V10"/>
    <mergeCell ref="A11:V11"/>
    <mergeCell ref="A12:V12"/>
    <mergeCell ref="U18:U19"/>
    <mergeCell ref="V18:V19"/>
    <mergeCell ref="L18:N18"/>
    <mergeCell ref="O18:Q18"/>
    <mergeCell ref="R18:T18"/>
    <mergeCell ref="B14:V14"/>
    <mergeCell ref="B15:V15"/>
    <mergeCell ref="B16:V16"/>
    <mergeCell ref="G18:G19"/>
    <mergeCell ref="H18:H19"/>
    <mergeCell ref="I18:K18"/>
    <mergeCell ref="A18:A19"/>
    <mergeCell ref="B18:B19"/>
  </mergeCells>
  <pageMargins left="0.23622047244094491" right="0.23622047244094491" top="0.39370078740157483" bottom="0.39370078740157483" header="0.31496062992125984" footer="0.31496062992125984"/>
  <pageSetup paperSize="5" scale="20" fitToHeight="0" orientation="landscape" r:id="rId1"/>
  <headerFooter>
    <oddFooter>&amp;CPágina &amp;P de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55ED4-E126-4191-982D-0AE6EE4A3FF6}">
  <sheetPr codeName="Sheet7">
    <pageSetUpPr fitToPage="1"/>
  </sheetPr>
  <dimension ref="A6:U29"/>
  <sheetViews>
    <sheetView workbookViewId="0"/>
  </sheetViews>
  <sheetFormatPr defaultColWidth="11.42578125" defaultRowHeight="14.25" x14ac:dyDescent="0.2"/>
  <cols>
    <col min="1" max="1" width="42.140625" style="5" customWidth="1"/>
    <col min="2" max="2" width="29.7109375" style="2" bestFit="1" customWidth="1"/>
    <col min="3" max="3" width="29.28515625" style="5" bestFit="1" customWidth="1"/>
    <col min="4" max="4" width="16.42578125" style="2" bestFit="1" customWidth="1"/>
    <col min="5" max="5" width="12.42578125" style="2" customWidth="1"/>
    <col min="6" max="6" width="31.85546875" style="5" customWidth="1"/>
    <col min="7" max="7" width="10.28515625" style="2" customWidth="1"/>
    <col min="8" max="8" width="12.7109375" style="2" customWidth="1"/>
    <col min="9" max="9" width="8.42578125" style="2" customWidth="1"/>
    <col min="10" max="10" width="7.42578125" style="2" bestFit="1" customWidth="1"/>
    <col min="11" max="11" width="10.140625" style="2" customWidth="1"/>
    <col min="12" max="12" width="11.7109375" style="2" customWidth="1"/>
    <col min="13" max="13" width="7.42578125" style="2" bestFit="1" customWidth="1"/>
    <col min="14" max="14" width="10.42578125" style="2" customWidth="1"/>
    <col min="15" max="15" width="15" style="2" customWidth="1"/>
    <col min="16" max="16" width="12.5703125" style="2" customWidth="1"/>
    <col min="17" max="17" width="14.28515625" style="2" customWidth="1"/>
    <col min="18" max="18" width="13.42578125" style="2" customWidth="1"/>
    <col min="19" max="19" width="19.5703125" style="2" customWidth="1"/>
    <col min="20" max="20" width="24.85546875" style="2" bestFit="1" customWidth="1"/>
    <col min="21" max="21" width="19.42578125" style="2" customWidth="1"/>
    <col min="22" max="16384" width="11.42578125" style="2"/>
  </cols>
  <sheetData>
    <row r="6" spans="1:21" s="62" customFormat="1" ht="18" x14ac:dyDescent="0.25">
      <c r="A6" s="63"/>
      <c r="C6" s="63"/>
      <c r="F6" s="63"/>
    </row>
    <row r="7" spans="1:21" s="62" customFormat="1" ht="18" x14ac:dyDescent="0.25">
      <c r="A7" s="63"/>
      <c r="C7" s="63"/>
      <c r="F7" s="63"/>
    </row>
    <row r="8" spans="1:21" s="62" customFormat="1" ht="18" x14ac:dyDescent="0.25">
      <c r="A8" s="63"/>
      <c r="C8" s="63"/>
      <c r="F8" s="63"/>
    </row>
    <row r="9" spans="1:21" s="62" customFormat="1" ht="19.5" x14ac:dyDescent="0.25">
      <c r="A9" s="858" t="s">
        <v>0</v>
      </c>
      <c r="B9" s="858"/>
      <c r="C9" s="858"/>
      <c r="D9" s="858"/>
      <c r="E9" s="858"/>
      <c r="F9" s="858"/>
      <c r="G9" s="858"/>
      <c r="H9" s="858"/>
      <c r="I9" s="858"/>
      <c r="J9" s="858"/>
      <c r="K9" s="858"/>
      <c r="L9" s="858"/>
      <c r="M9" s="858"/>
      <c r="N9" s="858"/>
      <c r="O9" s="858"/>
      <c r="P9" s="858"/>
      <c r="Q9" s="858"/>
      <c r="R9" s="858"/>
      <c r="S9" s="858"/>
      <c r="T9" s="858"/>
      <c r="U9" s="858"/>
    </row>
    <row r="10" spans="1:21" s="62" customFormat="1" ht="19.5" x14ac:dyDescent="0.25">
      <c r="A10" s="858" t="s">
        <v>1</v>
      </c>
      <c r="B10" s="858"/>
      <c r="C10" s="858"/>
      <c r="D10" s="858"/>
      <c r="E10" s="858"/>
      <c r="F10" s="858"/>
      <c r="G10" s="858"/>
      <c r="H10" s="858"/>
      <c r="I10" s="858"/>
      <c r="J10" s="858"/>
      <c r="K10" s="858"/>
      <c r="L10" s="858"/>
      <c r="M10" s="858"/>
      <c r="N10" s="858"/>
      <c r="O10" s="858"/>
      <c r="P10" s="858"/>
      <c r="Q10" s="858"/>
      <c r="R10" s="858"/>
      <c r="S10" s="858"/>
      <c r="T10" s="858"/>
      <c r="U10" s="858"/>
    </row>
    <row r="11" spans="1:21" ht="19.5" x14ac:dyDescent="0.25">
      <c r="A11" s="3"/>
      <c r="B11" s="1"/>
      <c r="C11" s="3"/>
      <c r="D11" s="1"/>
      <c r="E11" s="1"/>
      <c r="F11" s="3"/>
      <c r="G11" s="1"/>
      <c r="H11" s="1"/>
      <c r="I11" s="1"/>
      <c r="J11" s="1"/>
      <c r="K11" s="1"/>
      <c r="L11" s="1"/>
      <c r="M11" s="1"/>
      <c r="N11" s="1"/>
      <c r="O11" s="1"/>
      <c r="P11" s="1"/>
      <c r="Q11" s="1"/>
      <c r="R11" s="1"/>
      <c r="S11" s="1"/>
      <c r="T11" s="1"/>
    </row>
    <row r="12" spans="1:21" s="58" customFormat="1" ht="15" x14ac:dyDescent="0.2">
      <c r="A12" s="155" t="s">
        <v>2</v>
      </c>
      <c r="B12" s="848" t="s">
        <v>485</v>
      </c>
      <c r="C12" s="848"/>
      <c r="D12" s="848"/>
      <c r="E12" s="848"/>
      <c r="F12" s="848"/>
      <c r="G12" s="848"/>
      <c r="H12" s="848"/>
      <c r="I12" s="848"/>
      <c r="J12" s="848"/>
      <c r="K12" s="848"/>
      <c r="L12" s="848"/>
      <c r="M12" s="848"/>
      <c r="N12" s="848"/>
      <c r="O12" s="848"/>
      <c r="P12" s="848"/>
      <c r="Q12" s="848"/>
      <c r="R12" s="848"/>
      <c r="S12" s="848"/>
      <c r="T12" s="848"/>
      <c r="U12" s="848"/>
    </row>
    <row r="13" spans="1:21" s="58" customFormat="1" ht="15" x14ac:dyDescent="0.2">
      <c r="A13" s="155" t="s">
        <v>3</v>
      </c>
      <c r="B13" s="848" t="s">
        <v>4</v>
      </c>
      <c r="C13" s="848"/>
      <c r="D13" s="848"/>
      <c r="E13" s="848"/>
      <c r="F13" s="848"/>
      <c r="G13" s="848"/>
      <c r="H13" s="848"/>
      <c r="I13" s="848"/>
      <c r="J13" s="848"/>
      <c r="K13" s="848"/>
      <c r="L13" s="848"/>
      <c r="M13" s="848"/>
      <c r="N13" s="848"/>
      <c r="O13" s="848"/>
      <c r="P13" s="848"/>
      <c r="Q13" s="848"/>
      <c r="R13" s="848"/>
      <c r="S13" s="848"/>
      <c r="T13" s="848"/>
      <c r="U13" s="848"/>
    </row>
    <row r="14" spans="1:21" s="58" customFormat="1" ht="15" x14ac:dyDescent="0.2">
      <c r="A14" s="155" t="s">
        <v>5</v>
      </c>
      <c r="B14" s="848" t="s">
        <v>483</v>
      </c>
      <c r="C14" s="848"/>
      <c r="D14" s="848"/>
      <c r="E14" s="848"/>
      <c r="F14" s="848"/>
      <c r="G14" s="848"/>
      <c r="H14" s="848"/>
      <c r="I14" s="848"/>
      <c r="J14" s="848"/>
      <c r="K14" s="848"/>
      <c r="L14" s="848"/>
      <c r="M14" s="848"/>
      <c r="N14" s="848"/>
      <c r="O14" s="848"/>
      <c r="P14" s="848"/>
      <c r="Q14" s="848"/>
      <c r="R14" s="848"/>
      <c r="S14" s="848"/>
      <c r="T14" s="848"/>
      <c r="U14" s="848"/>
    </row>
    <row r="15" spans="1:21" s="58" customFormat="1" ht="15" x14ac:dyDescent="0.2">
      <c r="A15" s="126"/>
      <c r="B15" s="101"/>
      <c r="C15" s="126"/>
      <c r="D15" s="101"/>
      <c r="E15" s="101"/>
      <c r="F15" s="126"/>
      <c r="G15" s="101"/>
      <c r="H15" s="101"/>
      <c r="I15" s="101"/>
      <c r="J15" s="101"/>
      <c r="K15" s="101"/>
      <c r="L15" s="101"/>
      <c r="M15" s="101"/>
      <c r="N15" s="101"/>
      <c r="O15" s="101"/>
      <c r="P15" s="101"/>
      <c r="Q15" s="101"/>
      <c r="R15" s="101"/>
      <c r="S15" s="101"/>
      <c r="T15" s="101"/>
    </row>
    <row r="16" spans="1:21" s="58" customFormat="1" ht="15" x14ac:dyDescent="0.2">
      <c r="A16" s="856" t="s">
        <v>6</v>
      </c>
      <c r="B16" s="856" t="s">
        <v>7</v>
      </c>
      <c r="C16" s="856" t="s">
        <v>8</v>
      </c>
      <c r="D16" s="846" t="s">
        <v>9</v>
      </c>
      <c r="E16" s="846"/>
      <c r="F16" s="845" t="s">
        <v>10</v>
      </c>
      <c r="G16" s="847" t="s">
        <v>11</v>
      </c>
      <c r="H16" s="847"/>
      <c r="I16" s="847"/>
      <c r="J16" s="847" t="s">
        <v>12</v>
      </c>
      <c r="K16" s="847"/>
      <c r="L16" s="847"/>
      <c r="M16" s="847" t="s">
        <v>13</v>
      </c>
      <c r="N16" s="847"/>
      <c r="O16" s="847"/>
      <c r="P16" s="847" t="s">
        <v>14</v>
      </c>
      <c r="Q16" s="847"/>
      <c r="R16" s="847"/>
      <c r="S16" s="845" t="s">
        <v>15</v>
      </c>
      <c r="T16" s="845" t="s">
        <v>16</v>
      </c>
      <c r="U16" s="845" t="s">
        <v>49</v>
      </c>
    </row>
    <row r="17" spans="1:21" s="60" customFormat="1" ht="30" x14ac:dyDescent="0.25">
      <c r="A17" s="857"/>
      <c r="B17" s="857"/>
      <c r="C17" s="857"/>
      <c r="D17" s="96" t="s">
        <v>17</v>
      </c>
      <c r="E17" s="96" t="s">
        <v>18</v>
      </c>
      <c r="F17" s="845"/>
      <c r="G17" s="98" t="s">
        <v>19</v>
      </c>
      <c r="H17" s="98" t="s">
        <v>20</v>
      </c>
      <c r="I17" s="98" t="s">
        <v>21</v>
      </c>
      <c r="J17" s="98" t="s">
        <v>22</v>
      </c>
      <c r="K17" s="98" t="s">
        <v>23</v>
      </c>
      <c r="L17" s="98" t="s">
        <v>24</v>
      </c>
      <c r="M17" s="98" t="s">
        <v>25</v>
      </c>
      <c r="N17" s="98" t="s">
        <v>26</v>
      </c>
      <c r="O17" s="98" t="s">
        <v>27</v>
      </c>
      <c r="P17" s="98" t="s">
        <v>28</v>
      </c>
      <c r="Q17" s="98" t="s">
        <v>29</v>
      </c>
      <c r="R17" s="98" t="s">
        <v>30</v>
      </c>
      <c r="S17" s="845"/>
      <c r="T17" s="845"/>
      <c r="U17" s="845"/>
    </row>
    <row r="18" spans="1:21" s="58" customFormat="1" ht="69.75" customHeight="1" x14ac:dyDescent="0.2">
      <c r="A18" s="895" t="s">
        <v>947</v>
      </c>
      <c r="B18" s="186" t="s">
        <v>58</v>
      </c>
      <c r="C18" s="186" t="s">
        <v>59</v>
      </c>
      <c r="D18" s="187" t="s">
        <v>31</v>
      </c>
      <c r="E18" s="188">
        <v>1</v>
      </c>
      <c r="F18" s="146" t="s">
        <v>950</v>
      </c>
      <c r="G18" s="190">
        <v>1</v>
      </c>
      <c r="H18" s="190">
        <v>1</v>
      </c>
      <c r="I18" s="190">
        <v>1</v>
      </c>
      <c r="J18" s="190">
        <v>1</v>
      </c>
      <c r="K18" s="190">
        <v>1</v>
      </c>
      <c r="L18" s="190">
        <v>1</v>
      </c>
      <c r="M18" s="190">
        <v>1</v>
      </c>
      <c r="N18" s="190">
        <v>1</v>
      </c>
      <c r="O18" s="190">
        <v>1</v>
      </c>
      <c r="P18" s="190">
        <v>1</v>
      </c>
      <c r="Q18" s="190">
        <v>1</v>
      </c>
      <c r="R18" s="190">
        <v>1</v>
      </c>
      <c r="S18" s="462">
        <f>+'Presupuesto Revisión y Control '!U20+'Presupuesto Revisión y Control '!U21+'Presupuesto Revisión y Control '!U22</f>
        <v>1713900</v>
      </c>
      <c r="T18" s="146" t="s">
        <v>60</v>
      </c>
      <c r="U18" s="146"/>
    </row>
    <row r="19" spans="1:21" s="58" customFormat="1" ht="65.25" customHeight="1" x14ac:dyDescent="0.2">
      <c r="A19" s="896"/>
      <c r="B19" s="186" t="s">
        <v>61</v>
      </c>
      <c r="C19" s="186" t="s">
        <v>62</v>
      </c>
      <c r="D19" s="187" t="s">
        <v>31</v>
      </c>
      <c r="E19" s="188">
        <v>1</v>
      </c>
      <c r="F19" s="146" t="s">
        <v>951</v>
      </c>
      <c r="G19" s="190">
        <v>1</v>
      </c>
      <c r="H19" s="190">
        <v>1</v>
      </c>
      <c r="I19" s="190">
        <v>1</v>
      </c>
      <c r="J19" s="190">
        <v>1</v>
      </c>
      <c r="K19" s="190">
        <v>1</v>
      </c>
      <c r="L19" s="190">
        <v>1</v>
      </c>
      <c r="M19" s="190">
        <v>1</v>
      </c>
      <c r="N19" s="190">
        <v>1</v>
      </c>
      <c r="O19" s="190">
        <v>1</v>
      </c>
      <c r="P19" s="190">
        <v>1</v>
      </c>
      <c r="Q19" s="190">
        <v>1</v>
      </c>
      <c r="R19" s="190">
        <v>1</v>
      </c>
      <c r="S19" s="463"/>
      <c r="T19" s="146" t="s">
        <v>63</v>
      </c>
      <c r="U19" s="146"/>
    </row>
    <row r="20" spans="1:21" s="58" customFormat="1" ht="81" customHeight="1" x14ac:dyDescent="0.2">
      <c r="A20" s="191" t="s">
        <v>948</v>
      </c>
      <c r="B20" s="191" t="s">
        <v>64</v>
      </c>
      <c r="C20" s="191" t="s">
        <v>62</v>
      </c>
      <c r="D20" s="192" t="s">
        <v>31</v>
      </c>
      <c r="E20" s="193">
        <v>0.9</v>
      </c>
      <c r="F20" s="194" t="s">
        <v>952</v>
      </c>
      <c r="G20" s="195">
        <v>0.9</v>
      </c>
      <c r="H20" s="195">
        <v>0.9</v>
      </c>
      <c r="I20" s="195">
        <v>0.9</v>
      </c>
      <c r="J20" s="195">
        <v>0.9</v>
      </c>
      <c r="K20" s="195">
        <v>0.9</v>
      </c>
      <c r="L20" s="195">
        <v>0.9</v>
      </c>
      <c r="M20" s="195">
        <v>0.9</v>
      </c>
      <c r="N20" s="195">
        <v>0.9</v>
      </c>
      <c r="O20" s="195">
        <v>0.9</v>
      </c>
      <c r="P20" s="195">
        <v>0.9</v>
      </c>
      <c r="Q20" s="195">
        <v>0.9</v>
      </c>
      <c r="R20" s="195">
        <v>0.9</v>
      </c>
      <c r="S20" s="195" t="s">
        <v>77</v>
      </c>
      <c r="T20" s="143" t="s">
        <v>1070</v>
      </c>
      <c r="U20" s="357"/>
    </row>
    <row r="21" spans="1:21" s="58" customFormat="1" ht="72" customHeight="1" x14ac:dyDescent="0.2">
      <c r="A21" s="186" t="s">
        <v>949</v>
      </c>
      <c r="B21" s="186" t="s">
        <v>65</v>
      </c>
      <c r="C21" s="186" t="s">
        <v>908</v>
      </c>
      <c r="D21" s="186" t="s">
        <v>66</v>
      </c>
      <c r="E21" s="187">
        <v>1</v>
      </c>
      <c r="F21" s="186" t="s">
        <v>1170</v>
      </c>
      <c r="G21" s="186"/>
      <c r="H21" s="186"/>
      <c r="I21" s="186"/>
      <c r="J21" s="186"/>
      <c r="K21" s="186"/>
      <c r="L21" s="187">
        <v>1</v>
      </c>
      <c r="M21" s="186"/>
      <c r="N21" s="186"/>
      <c r="O21" s="186"/>
      <c r="P21" s="186"/>
      <c r="Q21" s="186"/>
      <c r="R21" s="186"/>
      <c r="S21" s="187" t="s">
        <v>77</v>
      </c>
      <c r="T21" s="186" t="s">
        <v>67</v>
      </c>
      <c r="U21" s="186"/>
    </row>
    <row r="22" spans="1:21" ht="15" x14ac:dyDescent="0.2">
      <c r="A22" s="436"/>
      <c r="B22" s="436"/>
      <c r="C22" s="436"/>
      <c r="D22" s="436"/>
      <c r="E22" s="436"/>
      <c r="F22" s="436"/>
      <c r="G22" s="436"/>
      <c r="H22" s="436"/>
      <c r="I22" s="436"/>
      <c r="J22" s="436"/>
      <c r="K22" s="436"/>
      <c r="L22" s="436"/>
      <c r="M22" s="436"/>
      <c r="N22" s="436"/>
      <c r="O22" s="436"/>
      <c r="P22" s="436"/>
      <c r="Q22" s="436"/>
      <c r="R22" s="436"/>
      <c r="S22" s="449">
        <f>SUM(S18:S21)</f>
        <v>1713900</v>
      </c>
      <c r="T22" s="436"/>
      <c r="U22" s="436"/>
    </row>
    <row r="23" spans="1:21" ht="15" x14ac:dyDescent="0.2">
      <c r="A23" s="126"/>
      <c r="B23" s="101"/>
      <c r="C23" s="126"/>
      <c r="D23" s="101"/>
      <c r="E23" s="101"/>
      <c r="F23" s="126"/>
      <c r="G23" s="101"/>
      <c r="H23" s="101"/>
      <c r="I23" s="101"/>
      <c r="J23" s="101"/>
      <c r="K23" s="101"/>
      <c r="L23" s="101"/>
      <c r="M23" s="101"/>
      <c r="N23" s="101"/>
      <c r="O23" s="101"/>
      <c r="P23" s="101"/>
      <c r="Q23" s="101"/>
      <c r="R23" s="101"/>
      <c r="S23" s="101"/>
      <c r="T23" s="101"/>
    </row>
    <row r="24" spans="1:21" ht="15" x14ac:dyDescent="0.2">
      <c r="A24" s="126"/>
      <c r="B24" s="101"/>
      <c r="C24" s="126"/>
      <c r="D24" s="101"/>
      <c r="E24" s="101"/>
      <c r="F24" s="126"/>
      <c r="G24" s="101"/>
      <c r="H24" s="101"/>
      <c r="I24" s="101"/>
      <c r="J24" s="101"/>
      <c r="K24" s="101"/>
      <c r="L24" s="101"/>
      <c r="M24" s="101"/>
      <c r="N24" s="101"/>
      <c r="O24" s="101"/>
      <c r="P24" s="101"/>
      <c r="Q24" s="101"/>
      <c r="R24" s="101"/>
      <c r="S24" s="101"/>
      <c r="T24" s="101"/>
    </row>
    <row r="25" spans="1:21" ht="15" x14ac:dyDescent="0.2">
      <c r="A25" s="126"/>
      <c r="B25" s="101"/>
      <c r="C25" s="126"/>
      <c r="D25" s="101"/>
      <c r="E25" s="101"/>
      <c r="F25" s="126"/>
      <c r="G25" s="101"/>
      <c r="H25" s="101"/>
      <c r="I25" s="101"/>
      <c r="J25" s="101"/>
      <c r="K25" s="101"/>
      <c r="L25" s="101"/>
      <c r="M25" s="101"/>
      <c r="N25" s="101"/>
      <c r="O25" s="101"/>
      <c r="P25" s="101"/>
      <c r="Q25" s="101"/>
      <c r="R25" s="101"/>
      <c r="S25" s="101"/>
      <c r="T25" s="101"/>
    </row>
    <row r="27" spans="1:21" ht="15.75" x14ac:dyDescent="0.25">
      <c r="B27" s="900"/>
      <c r="C27" s="900"/>
      <c r="D27" s="126"/>
      <c r="E27" s="101"/>
      <c r="F27" s="101"/>
      <c r="G27" s="900"/>
      <c r="H27" s="900"/>
      <c r="I27" s="900"/>
      <c r="J27" s="900"/>
      <c r="K27" s="900"/>
      <c r="L27" s="900"/>
      <c r="M27" s="101"/>
      <c r="N27" s="476"/>
      <c r="O27" s="476"/>
      <c r="P27" s="101"/>
      <c r="Q27" s="853"/>
      <c r="R27" s="853"/>
      <c r="S27" s="853"/>
    </row>
    <row r="28" spans="1:21" ht="15.75" x14ac:dyDescent="0.25">
      <c r="B28" s="901" t="s">
        <v>1047</v>
      </c>
      <c r="C28" s="901"/>
      <c r="D28" s="126"/>
      <c r="E28" s="101"/>
      <c r="F28" s="101"/>
      <c r="G28" s="901" t="s">
        <v>536</v>
      </c>
      <c r="H28" s="901"/>
      <c r="I28" s="901"/>
      <c r="J28" s="901"/>
      <c r="K28" s="901"/>
      <c r="L28" s="901"/>
      <c r="M28" s="101"/>
      <c r="N28" s="477"/>
      <c r="O28" s="101"/>
      <c r="P28" s="477"/>
      <c r="Q28" s="901" t="s">
        <v>537</v>
      </c>
      <c r="R28" s="901"/>
      <c r="S28" s="901"/>
    </row>
    <row r="29" spans="1:21" ht="15.75" x14ac:dyDescent="0.25">
      <c r="B29" s="897" t="s">
        <v>1048</v>
      </c>
      <c r="C29" s="897"/>
      <c r="D29" s="126"/>
      <c r="E29" s="101"/>
      <c r="F29" s="101"/>
      <c r="G29" s="898" t="s">
        <v>546</v>
      </c>
      <c r="H29" s="898"/>
      <c r="I29" s="898"/>
      <c r="J29" s="898"/>
      <c r="K29" s="898"/>
      <c r="L29" s="898"/>
      <c r="M29" s="101"/>
      <c r="N29" s="476"/>
      <c r="O29" s="101"/>
      <c r="P29" s="476"/>
      <c r="Q29" s="899" t="s">
        <v>538</v>
      </c>
      <c r="R29" s="899"/>
      <c r="S29" s="899"/>
    </row>
  </sheetData>
  <mergeCells count="27">
    <mergeCell ref="B29:C29"/>
    <mergeCell ref="G29:L29"/>
    <mergeCell ref="Q29:S29"/>
    <mergeCell ref="B27:C27"/>
    <mergeCell ref="G27:L27"/>
    <mergeCell ref="Q27:S27"/>
    <mergeCell ref="B28:C28"/>
    <mergeCell ref="G28:L28"/>
    <mergeCell ref="Q28:S28"/>
    <mergeCell ref="A18:A19"/>
    <mergeCell ref="G16:I16"/>
    <mergeCell ref="J16:L16"/>
    <mergeCell ref="M16:O16"/>
    <mergeCell ref="P16:R16"/>
    <mergeCell ref="A16:A17"/>
    <mergeCell ref="B16:B17"/>
    <mergeCell ref="C16:C17"/>
    <mergeCell ref="D16:E16"/>
    <mergeCell ref="F16:F17"/>
    <mergeCell ref="S16:S17"/>
    <mergeCell ref="A9:U9"/>
    <mergeCell ref="A10:U10"/>
    <mergeCell ref="B12:U12"/>
    <mergeCell ref="B13:U13"/>
    <mergeCell ref="B14:U14"/>
    <mergeCell ref="U16:U17"/>
    <mergeCell ref="T16:T17"/>
  </mergeCells>
  <pageMargins left="0.23622047244094491" right="0.23622047244094491" top="0.39370078740157483" bottom="0.39370078740157483" header="0.31496062992125984" footer="0.31496062992125984"/>
  <pageSetup paperSize="5" scale="47" orientation="landscape" r:id="rId1"/>
  <headerFooter>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230BA-D00B-4E4F-A955-FD0734D7F118}">
  <sheetPr codeName="Sheet8">
    <pageSetUpPr fitToPage="1"/>
  </sheetPr>
  <dimension ref="A9:AR30"/>
  <sheetViews>
    <sheetView workbookViewId="0"/>
  </sheetViews>
  <sheetFormatPr defaultColWidth="11.42578125" defaultRowHeight="14.25" x14ac:dyDescent="0.2"/>
  <cols>
    <col min="1" max="1" width="37.7109375" style="2" bestFit="1" customWidth="1"/>
    <col min="2" max="2" width="46.28515625" style="2" bestFit="1" customWidth="1"/>
    <col min="3" max="3" width="32.7109375" style="2" bestFit="1" customWidth="1"/>
    <col min="4" max="4" width="16.28515625" style="2" bestFit="1" customWidth="1"/>
    <col min="5" max="5" width="11.140625" style="8" bestFit="1" customWidth="1"/>
    <col min="6" max="6" width="23.140625" style="2" bestFit="1" customWidth="1"/>
    <col min="7" max="7" width="16.140625" style="2" customWidth="1"/>
    <col min="8" max="8" width="24.5703125" style="9" bestFit="1" customWidth="1"/>
    <col min="9" max="9" width="20.140625" style="2" bestFit="1" customWidth="1"/>
    <col min="10" max="10" width="12" style="2" bestFit="1" customWidth="1"/>
    <col min="11" max="11" width="9.85546875" style="2" bestFit="1" customWidth="1"/>
    <col min="12" max="16" width="15.5703125" style="2" bestFit="1" customWidth="1"/>
    <col min="17" max="17" width="17" style="2" bestFit="1" customWidth="1"/>
    <col min="18" max="20" width="15.5703125" style="2" bestFit="1" customWidth="1"/>
    <col min="21" max="21" width="22.140625" style="2" bestFit="1" customWidth="1"/>
    <col min="22" max="22" width="20.85546875" style="5" customWidth="1"/>
    <col min="23" max="23" width="21.42578125" style="6" customWidth="1"/>
    <col min="24" max="24" width="5" style="6" customWidth="1"/>
    <col min="25" max="25" width="18.28515625" style="6" customWidth="1"/>
    <col min="26" max="26" width="15.140625" style="6" bestFit="1" customWidth="1"/>
    <col min="27" max="27" width="15.42578125" style="6" customWidth="1"/>
    <col min="28" max="44" width="11.42578125" style="6"/>
    <col min="45" max="16384" width="11.42578125" style="2"/>
  </cols>
  <sheetData>
    <row r="9" spans="1:44" s="62" customFormat="1" ht="19.5" x14ac:dyDescent="0.25">
      <c r="A9" s="858" t="s">
        <v>0</v>
      </c>
      <c r="B9" s="858"/>
      <c r="C9" s="858"/>
      <c r="D9" s="858"/>
      <c r="E9" s="858"/>
      <c r="F9" s="858"/>
      <c r="G9" s="858"/>
      <c r="H9" s="858"/>
      <c r="I9" s="858"/>
      <c r="J9" s="858"/>
      <c r="K9" s="858"/>
      <c r="L9" s="858"/>
      <c r="M9" s="858"/>
      <c r="N9" s="858"/>
      <c r="O9" s="858"/>
      <c r="P9" s="858"/>
      <c r="Q9" s="858"/>
      <c r="R9" s="858"/>
      <c r="S9" s="858"/>
      <c r="T9" s="858"/>
      <c r="U9" s="858"/>
      <c r="V9" s="858"/>
      <c r="W9" s="61"/>
      <c r="X9" s="61"/>
      <c r="Y9" s="61"/>
      <c r="Z9" s="61"/>
      <c r="AA9" s="61"/>
      <c r="AB9" s="61"/>
      <c r="AC9" s="61"/>
      <c r="AD9" s="61"/>
      <c r="AE9" s="61"/>
      <c r="AF9" s="61"/>
      <c r="AG9" s="61"/>
      <c r="AH9" s="61"/>
      <c r="AI9" s="61"/>
      <c r="AJ9" s="61"/>
      <c r="AK9" s="61"/>
      <c r="AL9" s="61"/>
      <c r="AM9" s="61"/>
      <c r="AN9" s="61"/>
      <c r="AO9" s="61"/>
      <c r="AP9" s="61"/>
      <c r="AQ9" s="61"/>
      <c r="AR9" s="61"/>
    </row>
    <row r="10" spans="1:44" s="62" customFormat="1" ht="19.5" x14ac:dyDescent="0.25">
      <c r="A10" s="858" t="s">
        <v>1</v>
      </c>
      <c r="B10" s="858"/>
      <c r="C10" s="858"/>
      <c r="D10" s="858"/>
      <c r="E10" s="858"/>
      <c r="F10" s="858"/>
      <c r="G10" s="858"/>
      <c r="H10" s="858"/>
      <c r="I10" s="858"/>
      <c r="J10" s="858"/>
      <c r="K10" s="858"/>
      <c r="L10" s="858"/>
      <c r="M10" s="858"/>
      <c r="N10" s="858"/>
      <c r="O10" s="858"/>
      <c r="P10" s="858"/>
      <c r="Q10" s="858"/>
      <c r="R10" s="858"/>
      <c r="S10" s="858"/>
      <c r="T10" s="858"/>
      <c r="U10" s="858"/>
      <c r="V10" s="858"/>
      <c r="W10" s="61"/>
      <c r="X10" s="61"/>
      <c r="Y10" s="61"/>
      <c r="Z10" s="61"/>
      <c r="AA10" s="61"/>
      <c r="AB10" s="61"/>
      <c r="AC10" s="61"/>
      <c r="AD10" s="61"/>
      <c r="AE10" s="61"/>
      <c r="AF10" s="61"/>
      <c r="AG10" s="61"/>
      <c r="AH10" s="61"/>
      <c r="AI10" s="61"/>
      <c r="AJ10" s="61"/>
      <c r="AK10" s="61"/>
      <c r="AL10" s="61"/>
      <c r="AM10" s="61"/>
      <c r="AN10" s="61"/>
      <c r="AO10" s="61"/>
      <c r="AP10" s="61"/>
      <c r="AQ10" s="61"/>
      <c r="AR10" s="61"/>
    </row>
    <row r="11" spans="1:44" s="62" customFormat="1" ht="19.5" x14ac:dyDescent="0.25">
      <c r="A11" s="858" t="s">
        <v>42</v>
      </c>
      <c r="B11" s="858"/>
      <c r="C11" s="858"/>
      <c r="D11" s="858"/>
      <c r="E11" s="858"/>
      <c r="F11" s="858"/>
      <c r="G11" s="858"/>
      <c r="H11" s="858"/>
      <c r="I11" s="858"/>
      <c r="J11" s="858"/>
      <c r="K11" s="858"/>
      <c r="L11" s="858"/>
      <c r="M11" s="858"/>
      <c r="N11" s="858"/>
      <c r="O11" s="858"/>
      <c r="P11" s="858"/>
      <c r="Q11" s="858"/>
      <c r="R11" s="858"/>
      <c r="S11" s="858"/>
      <c r="T11" s="858"/>
      <c r="U11" s="858"/>
      <c r="V11" s="858"/>
      <c r="W11" s="61"/>
      <c r="X11" s="61"/>
      <c r="Y11" s="61"/>
      <c r="Z11" s="61"/>
      <c r="AA11" s="61"/>
      <c r="AB11" s="61"/>
      <c r="AC11" s="61"/>
      <c r="AD11" s="61"/>
      <c r="AE11" s="61"/>
      <c r="AF11" s="61"/>
      <c r="AG11" s="61"/>
      <c r="AH11" s="61"/>
      <c r="AI11" s="61"/>
      <c r="AJ11" s="61"/>
      <c r="AK11" s="61"/>
      <c r="AL11" s="61"/>
      <c r="AM11" s="61"/>
      <c r="AN11" s="61"/>
      <c r="AO11" s="61"/>
      <c r="AP11" s="61"/>
      <c r="AQ11" s="61"/>
      <c r="AR11" s="61"/>
    </row>
    <row r="12" spans="1:44" s="62" customFormat="1" ht="19.5" x14ac:dyDescent="0.25">
      <c r="A12" s="540"/>
      <c r="B12" s="540"/>
      <c r="C12" s="540"/>
      <c r="D12" s="540"/>
      <c r="E12" s="540"/>
      <c r="F12" s="540"/>
      <c r="G12" s="540"/>
      <c r="H12" s="540"/>
      <c r="I12" s="540"/>
      <c r="J12" s="540"/>
      <c r="K12" s="540"/>
      <c r="L12" s="540"/>
      <c r="M12" s="540"/>
      <c r="N12" s="540"/>
      <c r="O12" s="540"/>
      <c r="P12" s="540"/>
      <c r="Q12" s="540"/>
      <c r="R12" s="540"/>
      <c r="S12" s="540"/>
      <c r="T12" s="540"/>
      <c r="U12" s="540"/>
      <c r="V12" s="540"/>
      <c r="W12" s="61"/>
      <c r="X12" s="61"/>
      <c r="Y12" s="61"/>
      <c r="Z12" s="61"/>
      <c r="AA12" s="61"/>
      <c r="AB12" s="61"/>
      <c r="AC12" s="61"/>
      <c r="AD12" s="61"/>
      <c r="AE12" s="61"/>
      <c r="AF12" s="61"/>
      <c r="AG12" s="61"/>
      <c r="AH12" s="61"/>
      <c r="AI12" s="61"/>
      <c r="AJ12" s="61"/>
      <c r="AK12" s="61"/>
      <c r="AL12" s="61"/>
      <c r="AM12" s="61"/>
      <c r="AN12" s="61"/>
      <c r="AO12" s="61"/>
      <c r="AP12" s="61"/>
      <c r="AQ12" s="61"/>
      <c r="AR12" s="61"/>
    </row>
    <row r="13" spans="1:44" s="62" customFormat="1" ht="19.5" x14ac:dyDescent="0.25">
      <c r="A13" s="540"/>
      <c r="B13" s="540"/>
      <c r="C13" s="540"/>
      <c r="D13" s="540"/>
      <c r="E13" s="540"/>
      <c r="F13" s="540"/>
      <c r="G13" s="540"/>
      <c r="H13" s="540"/>
      <c r="I13" s="540"/>
      <c r="J13" s="540"/>
      <c r="K13" s="540"/>
      <c r="L13" s="540"/>
      <c r="M13" s="540"/>
      <c r="N13" s="540"/>
      <c r="O13" s="540"/>
      <c r="P13" s="540"/>
      <c r="Q13" s="540"/>
      <c r="R13" s="540"/>
      <c r="S13" s="540"/>
      <c r="T13" s="540"/>
      <c r="U13" s="540"/>
      <c r="V13" s="540"/>
      <c r="W13" s="61"/>
      <c r="X13" s="61"/>
      <c r="Y13" s="61"/>
      <c r="Z13" s="61"/>
      <c r="AA13" s="61"/>
      <c r="AB13" s="61"/>
      <c r="AC13" s="61"/>
      <c r="AD13" s="61"/>
      <c r="AE13" s="61"/>
      <c r="AF13" s="61"/>
      <c r="AG13" s="61"/>
      <c r="AH13" s="61"/>
      <c r="AI13" s="61"/>
      <c r="AJ13" s="61"/>
      <c r="AK13" s="61"/>
      <c r="AL13" s="61"/>
      <c r="AM13" s="61"/>
      <c r="AN13" s="61"/>
      <c r="AO13" s="61"/>
      <c r="AP13" s="61"/>
      <c r="AQ13" s="61"/>
      <c r="AR13" s="61"/>
    </row>
    <row r="14" spans="1:44" s="58" customFormat="1" ht="15" x14ac:dyDescent="0.2">
      <c r="A14" s="100" t="s">
        <v>2</v>
      </c>
      <c r="B14" s="848" t="s">
        <v>56</v>
      </c>
      <c r="C14" s="848"/>
      <c r="D14" s="848"/>
      <c r="E14" s="848"/>
      <c r="F14" s="848"/>
      <c r="G14" s="848"/>
      <c r="H14" s="848"/>
      <c r="I14" s="848"/>
      <c r="J14" s="848"/>
      <c r="K14" s="848"/>
      <c r="L14" s="848"/>
      <c r="M14" s="848"/>
      <c r="N14" s="848"/>
      <c r="O14" s="848"/>
      <c r="P14" s="848"/>
      <c r="Q14" s="848"/>
      <c r="R14" s="848"/>
      <c r="S14" s="848"/>
      <c r="T14" s="848"/>
      <c r="U14" s="848"/>
      <c r="V14" s="848"/>
      <c r="W14" s="64"/>
      <c r="X14" s="64"/>
      <c r="Y14" s="64"/>
      <c r="Z14" s="64"/>
      <c r="AA14" s="64"/>
      <c r="AB14" s="64"/>
      <c r="AC14" s="64"/>
      <c r="AD14" s="64"/>
      <c r="AE14" s="64"/>
      <c r="AF14" s="64"/>
      <c r="AG14" s="64"/>
      <c r="AH14" s="64"/>
      <c r="AI14" s="64"/>
      <c r="AJ14" s="64"/>
      <c r="AK14" s="64"/>
      <c r="AL14" s="64"/>
      <c r="AM14" s="64"/>
      <c r="AN14" s="64"/>
      <c r="AO14" s="64"/>
      <c r="AP14" s="64"/>
      <c r="AQ14" s="64"/>
      <c r="AR14" s="64"/>
    </row>
    <row r="15" spans="1:44" s="58" customFormat="1" ht="15" x14ac:dyDescent="0.2">
      <c r="A15" s="100" t="s">
        <v>3</v>
      </c>
      <c r="B15" s="848" t="s">
        <v>4</v>
      </c>
      <c r="C15" s="848"/>
      <c r="D15" s="848"/>
      <c r="E15" s="848"/>
      <c r="F15" s="848"/>
      <c r="G15" s="848"/>
      <c r="H15" s="848"/>
      <c r="I15" s="848"/>
      <c r="J15" s="848"/>
      <c r="K15" s="848"/>
      <c r="L15" s="848"/>
      <c r="M15" s="848"/>
      <c r="N15" s="848"/>
      <c r="O15" s="848"/>
      <c r="P15" s="848"/>
      <c r="Q15" s="848"/>
      <c r="R15" s="848"/>
      <c r="S15" s="848"/>
      <c r="T15" s="848"/>
      <c r="U15" s="848"/>
      <c r="V15" s="848"/>
      <c r="W15" s="64"/>
      <c r="X15" s="64"/>
      <c r="Y15" s="64"/>
      <c r="Z15" s="64"/>
      <c r="AA15" s="64"/>
      <c r="AB15" s="64"/>
      <c r="AC15" s="64"/>
      <c r="AD15" s="64"/>
      <c r="AE15" s="64"/>
      <c r="AF15" s="64"/>
      <c r="AG15" s="64"/>
      <c r="AH15" s="64"/>
      <c r="AI15" s="64"/>
      <c r="AJ15" s="64"/>
      <c r="AK15" s="64"/>
      <c r="AL15" s="64"/>
      <c r="AM15" s="64"/>
      <c r="AN15" s="64"/>
      <c r="AO15" s="64"/>
      <c r="AP15" s="64"/>
      <c r="AQ15" s="64"/>
      <c r="AR15" s="64"/>
    </row>
    <row r="16" spans="1:44" s="58" customFormat="1" ht="15" x14ac:dyDescent="0.2">
      <c r="A16" s="100" t="s">
        <v>5</v>
      </c>
      <c r="B16" s="848" t="s">
        <v>57</v>
      </c>
      <c r="C16" s="848"/>
      <c r="D16" s="848"/>
      <c r="E16" s="848"/>
      <c r="F16" s="848"/>
      <c r="G16" s="848"/>
      <c r="H16" s="848"/>
      <c r="I16" s="848"/>
      <c r="J16" s="848"/>
      <c r="K16" s="848"/>
      <c r="L16" s="848"/>
      <c r="M16" s="848"/>
      <c r="N16" s="848"/>
      <c r="O16" s="848"/>
      <c r="P16" s="848"/>
      <c r="Q16" s="848"/>
      <c r="R16" s="848"/>
      <c r="S16" s="848"/>
      <c r="T16" s="848"/>
      <c r="U16" s="848"/>
      <c r="V16" s="848"/>
      <c r="W16" s="64"/>
      <c r="X16" s="64"/>
      <c r="Y16" s="64"/>
      <c r="Z16" s="64"/>
      <c r="AA16" s="64"/>
      <c r="AB16" s="64"/>
      <c r="AC16" s="64"/>
      <c r="AD16" s="64"/>
      <c r="AE16" s="64"/>
      <c r="AF16" s="64"/>
      <c r="AG16" s="64"/>
      <c r="AH16" s="64"/>
      <c r="AI16" s="64"/>
      <c r="AJ16" s="64"/>
      <c r="AK16" s="64"/>
      <c r="AL16" s="64"/>
      <c r="AM16" s="64"/>
      <c r="AN16" s="64"/>
      <c r="AO16" s="64"/>
      <c r="AP16" s="64"/>
      <c r="AQ16" s="64"/>
      <c r="AR16" s="64"/>
    </row>
    <row r="17" spans="1:44" s="58" customFormat="1" ht="15" x14ac:dyDescent="0.2">
      <c r="A17" s="101"/>
      <c r="B17" s="101"/>
      <c r="C17" s="101"/>
      <c r="D17" s="101"/>
      <c r="E17" s="127"/>
      <c r="F17" s="101"/>
      <c r="G17" s="101"/>
      <c r="H17" s="128"/>
      <c r="I17" s="101"/>
      <c r="J17" s="101"/>
      <c r="K17" s="101"/>
      <c r="L17" s="101"/>
      <c r="M17" s="101"/>
      <c r="N17" s="101"/>
      <c r="O17" s="101"/>
      <c r="P17" s="101"/>
      <c r="Q17" s="101"/>
      <c r="R17" s="101"/>
      <c r="S17" s="101"/>
      <c r="T17" s="101"/>
      <c r="U17" s="101"/>
      <c r="V17" s="126"/>
      <c r="W17" s="64"/>
      <c r="X17" s="64"/>
      <c r="Y17" s="64"/>
      <c r="Z17" s="64"/>
      <c r="AA17" s="64"/>
      <c r="AB17" s="64"/>
      <c r="AC17" s="64"/>
      <c r="AD17" s="64"/>
      <c r="AE17" s="64"/>
      <c r="AF17" s="64"/>
      <c r="AG17" s="64"/>
      <c r="AH17" s="64"/>
      <c r="AI17" s="64"/>
      <c r="AJ17" s="64"/>
      <c r="AK17" s="64"/>
      <c r="AL17" s="64"/>
      <c r="AM17" s="64"/>
      <c r="AN17" s="64"/>
      <c r="AO17" s="64"/>
      <c r="AP17" s="64"/>
      <c r="AQ17" s="64"/>
      <c r="AR17" s="64"/>
    </row>
    <row r="18" spans="1:44" s="58" customFormat="1" ht="15" x14ac:dyDescent="0.2">
      <c r="A18" s="856" t="s">
        <v>6</v>
      </c>
      <c r="B18" s="845" t="s">
        <v>10</v>
      </c>
      <c r="C18" s="856" t="s">
        <v>43</v>
      </c>
      <c r="D18" s="856" t="s">
        <v>44</v>
      </c>
      <c r="E18" s="856" t="s">
        <v>45</v>
      </c>
      <c r="F18" s="856" t="s">
        <v>46</v>
      </c>
      <c r="G18" s="856" t="s">
        <v>47</v>
      </c>
      <c r="H18" s="856" t="s">
        <v>48</v>
      </c>
      <c r="I18" s="847" t="s">
        <v>11</v>
      </c>
      <c r="J18" s="847"/>
      <c r="K18" s="847"/>
      <c r="L18" s="847" t="s">
        <v>12</v>
      </c>
      <c r="M18" s="847"/>
      <c r="N18" s="847"/>
      <c r="O18" s="847" t="s">
        <v>13</v>
      </c>
      <c r="P18" s="847"/>
      <c r="Q18" s="847"/>
      <c r="R18" s="847" t="s">
        <v>14</v>
      </c>
      <c r="S18" s="847"/>
      <c r="T18" s="847"/>
      <c r="U18" s="845" t="s">
        <v>15</v>
      </c>
      <c r="V18" s="845" t="s">
        <v>49</v>
      </c>
      <c r="W18" s="64"/>
      <c r="X18" s="64"/>
      <c r="Y18" s="64"/>
      <c r="Z18" s="64"/>
      <c r="AA18" s="64"/>
      <c r="AB18" s="64"/>
      <c r="AC18" s="64"/>
      <c r="AD18" s="64"/>
      <c r="AE18" s="64"/>
      <c r="AF18" s="64"/>
      <c r="AG18" s="64"/>
      <c r="AH18" s="64"/>
      <c r="AI18" s="64"/>
      <c r="AJ18" s="64"/>
      <c r="AK18" s="64"/>
      <c r="AL18" s="64"/>
      <c r="AM18" s="64"/>
      <c r="AN18" s="64"/>
      <c r="AO18" s="64"/>
      <c r="AP18" s="64"/>
      <c r="AQ18" s="64"/>
      <c r="AR18" s="64"/>
    </row>
    <row r="19" spans="1:44" s="60" customFormat="1" ht="24" customHeight="1" x14ac:dyDescent="0.25">
      <c r="A19" s="857"/>
      <c r="B19" s="845"/>
      <c r="C19" s="857"/>
      <c r="D19" s="857"/>
      <c r="E19" s="857"/>
      <c r="F19" s="857"/>
      <c r="G19" s="857"/>
      <c r="H19" s="857"/>
      <c r="I19" s="196" t="s">
        <v>19</v>
      </c>
      <c r="J19" s="196" t="s">
        <v>20</v>
      </c>
      <c r="K19" s="196" t="s">
        <v>21</v>
      </c>
      <c r="L19" s="196" t="s">
        <v>22</v>
      </c>
      <c r="M19" s="196" t="s">
        <v>23</v>
      </c>
      <c r="N19" s="196" t="s">
        <v>24</v>
      </c>
      <c r="O19" s="196" t="s">
        <v>25</v>
      </c>
      <c r="P19" s="196" t="s">
        <v>26</v>
      </c>
      <c r="Q19" s="196" t="s">
        <v>27</v>
      </c>
      <c r="R19" s="196" t="s">
        <v>28</v>
      </c>
      <c r="S19" s="196" t="s">
        <v>29</v>
      </c>
      <c r="T19" s="196" t="s">
        <v>30</v>
      </c>
      <c r="U19" s="845"/>
      <c r="V19" s="845"/>
      <c r="W19" s="65"/>
      <c r="X19" s="65"/>
      <c r="Y19" s="65"/>
      <c r="Z19" s="65"/>
      <c r="AA19" s="65"/>
      <c r="AB19" s="65"/>
      <c r="AC19" s="65"/>
      <c r="AD19" s="65"/>
      <c r="AE19" s="65"/>
      <c r="AF19" s="65"/>
      <c r="AG19" s="65"/>
      <c r="AH19" s="65"/>
      <c r="AI19" s="65"/>
      <c r="AJ19" s="65"/>
      <c r="AK19" s="65"/>
      <c r="AL19" s="65"/>
      <c r="AM19" s="65"/>
      <c r="AN19" s="65"/>
      <c r="AO19" s="65"/>
      <c r="AP19" s="65"/>
      <c r="AQ19" s="65"/>
      <c r="AR19" s="65"/>
    </row>
    <row r="20" spans="1:44" s="67" customFormat="1" ht="22.5" customHeight="1" x14ac:dyDescent="0.2">
      <c r="A20" s="905" t="s">
        <v>947</v>
      </c>
      <c r="B20" s="905" t="s">
        <v>950</v>
      </c>
      <c r="C20" s="461" t="s">
        <v>50</v>
      </c>
      <c r="D20" s="197" t="s">
        <v>68</v>
      </c>
      <c r="E20" s="133" t="s">
        <v>69</v>
      </c>
      <c r="F20" s="197" t="s">
        <v>70</v>
      </c>
      <c r="G20" s="133">
        <v>99</v>
      </c>
      <c r="H20" s="198">
        <v>4100</v>
      </c>
      <c r="I20" s="199">
        <v>0</v>
      </c>
      <c r="J20" s="199">
        <v>0</v>
      </c>
      <c r="K20" s="199">
        <v>0</v>
      </c>
      <c r="L20" s="200">
        <f>+$H$20*11</f>
        <v>45100</v>
      </c>
      <c r="M20" s="200">
        <f t="shared" ref="M20:T20" si="0">+$H$20*11</f>
        <v>45100</v>
      </c>
      <c r="N20" s="200">
        <f t="shared" si="0"/>
        <v>45100</v>
      </c>
      <c r="O20" s="200">
        <f t="shared" si="0"/>
        <v>45100</v>
      </c>
      <c r="P20" s="200">
        <f t="shared" si="0"/>
        <v>45100</v>
      </c>
      <c r="Q20" s="200">
        <f t="shared" si="0"/>
        <v>45100</v>
      </c>
      <c r="R20" s="200">
        <f t="shared" si="0"/>
        <v>45100</v>
      </c>
      <c r="S20" s="200">
        <f t="shared" si="0"/>
        <v>45100</v>
      </c>
      <c r="T20" s="200">
        <f t="shared" si="0"/>
        <v>45100</v>
      </c>
      <c r="U20" s="200">
        <f>SUM(I20:T20)</f>
        <v>405900</v>
      </c>
      <c r="V20" s="174"/>
      <c r="W20" s="66"/>
      <c r="X20" s="66"/>
      <c r="Y20" s="66"/>
      <c r="Z20" s="66"/>
      <c r="AA20" s="66"/>
      <c r="AB20" s="66"/>
      <c r="AC20" s="66"/>
      <c r="AD20" s="66"/>
      <c r="AE20" s="66"/>
      <c r="AF20" s="66"/>
      <c r="AG20" s="66"/>
      <c r="AH20" s="66"/>
      <c r="AI20" s="66"/>
      <c r="AJ20" s="66"/>
      <c r="AK20" s="66"/>
      <c r="AL20" s="66"/>
      <c r="AM20" s="66"/>
      <c r="AN20" s="66"/>
      <c r="AO20" s="66"/>
      <c r="AP20" s="66"/>
      <c r="AQ20" s="66"/>
      <c r="AR20" s="66"/>
    </row>
    <row r="21" spans="1:44" s="66" customFormat="1" ht="33.75" customHeight="1" x14ac:dyDescent="0.2">
      <c r="A21" s="906"/>
      <c r="B21" s="907"/>
      <c r="C21" s="146" t="s">
        <v>358</v>
      </c>
      <c r="D21" s="104" t="s">
        <v>909</v>
      </c>
      <c r="E21" s="133" t="s">
        <v>249</v>
      </c>
      <c r="F21" s="197" t="s">
        <v>953</v>
      </c>
      <c r="G21" s="145">
        <v>1</v>
      </c>
      <c r="H21" s="464">
        <v>1200000</v>
      </c>
      <c r="I21" s="464">
        <f>H21</f>
        <v>1200000</v>
      </c>
      <c r="J21" s="199">
        <v>0</v>
      </c>
      <c r="K21" s="199">
        <v>0</v>
      </c>
      <c r="L21" s="199">
        <v>0</v>
      </c>
      <c r="M21" s="199">
        <v>0</v>
      </c>
      <c r="N21" s="199">
        <v>0</v>
      </c>
      <c r="O21" s="199">
        <v>0</v>
      </c>
      <c r="P21" s="199">
        <v>0</v>
      </c>
      <c r="Q21" s="199">
        <v>0</v>
      </c>
      <c r="R21" s="199">
        <v>0</v>
      </c>
      <c r="S21" s="199">
        <v>0</v>
      </c>
      <c r="T21" s="199">
        <v>0</v>
      </c>
      <c r="U21" s="200">
        <f>SUM(I21:T21)</f>
        <v>1200000</v>
      </c>
      <c r="V21" s="174"/>
    </row>
    <row r="22" spans="1:44" s="59" customFormat="1" ht="45" x14ac:dyDescent="0.2">
      <c r="A22" s="906"/>
      <c r="B22" s="146" t="s">
        <v>951</v>
      </c>
      <c r="C22" s="146" t="s">
        <v>50</v>
      </c>
      <c r="D22" s="146" t="s">
        <v>71</v>
      </c>
      <c r="E22" s="131" t="s">
        <v>69</v>
      </c>
      <c r="F22" s="197" t="s">
        <v>70</v>
      </c>
      <c r="G22" s="133">
        <v>360</v>
      </c>
      <c r="H22" s="198">
        <v>300</v>
      </c>
      <c r="I22" s="199">
        <v>0</v>
      </c>
      <c r="J22" s="199">
        <v>0</v>
      </c>
      <c r="K22" s="199">
        <v>0</v>
      </c>
      <c r="L22" s="200">
        <f>40*$H22</f>
        <v>12000</v>
      </c>
      <c r="M22" s="200">
        <f t="shared" ref="M22:T22" si="1">40*$H22</f>
        <v>12000</v>
      </c>
      <c r="N22" s="200">
        <f t="shared" si="1"/>
        <v>12000</v>
      </c>
      <c r="O22" s="200">
        <f t="shared" si="1"/>
        <v>12000</v>
      </c>
      <c r="P22" s="200">
        <f t="shared" si="1"/>
        <v>12000</v>
      </c>
      <c r="Q22" s="200">
        <f t="shared" si="1"/>
        <v>12000</v>
      </c>
      <c r="R22" s="200">
        <f t="shared" si="1"/>
        <v>12000</v>
      </c>
      <c r="S22" s="200">
        <f t="shared" si="1"/>
        <v>12000</v>
      </c>
      <c r="T22" s="200">
        <f t="shared" si="1"/>
        <v>12000</v>
      </c>
      <c r="U22" s="200">
        <f>SUM(I22:T22)</f>
        <v>108000</v>
      </c>
      <c r="V22" s="174"/>
      <c r="W22" s="68"/>
      <c r="X22" s="68"/>
      <c r="Y22" s="68"/>
      <c r="Z22" s="68"/>
      <c r="AA22" s="68"/>
      <c r="AB22" s="68"/>
      <c r="AC22" s="68"/>
      <c r="AD22" s="68"/>
      <c r="AE22" s="68"/>
      <c r="AF22" s="68"/>
      <c r="AG22" s="68"/>
      <c r="AH22" s="68"/>
      <c r="AI22" s="68"/>
      <c r="AJ22" s="68"/>
      <c r="AK22" s="68"/>
      <c r="AL22" s="68"/>
      <c r="AM22" s="68"/>
      <c r="AN22" s="68"/>
      <c r="AO22" s="68"/>
      <c r="AP22" s="68"/>
      <c r="AQ22" s="68"/>
      <c r="AR22" s="68"/>
    </row>
    <row r="23" spans="1:44" s="58" customFormat="1" ht="15" x14ac:dyDescent="0.2">
      <c r="A23" s="182"/>
      <c r="B23" s="182"/>
      <c r="C23" s="182"/>
      <c r="D23" s="182"/>
      <c r="E23" s="201"/>
      <c r="F23" s="902"/>
      <c r="G23" s="903"/>
      <c r="H23" s="904"/>
      <c r="I23" s="184">
        <f>SUM(I20:I22)</f>
        <v>1200000</v>
      </c>
      <c r="J23" s="184">
        <f t="shared" ref="J23:T23" si="2">SUM(J20:J22)</f>
        <v>0</v>
      </c>
      <c r="K23" s="184">
        <f t="shared" si="2"/>
        <v>0</v>
      </c>
      <c r="L23" s="184">
        <f t="shared" si="2"/>
        <v>57100</v>
      </c>
      <c r="M23" s="184">
        <f t="shared" si="2"/>
        <v>57100</v>
      </c>
      <c r="N23" s="184">
        <f t="shared" si="2"/>
        <v>57100</v>
      </c>
      <c r="O23" s="184">
        <f t="shared" si="2"/>
        <v>57100</v>
      </c>
      <c r="P23" s="184">
        <f t="shared" si="2"/>
        <v>57100</v>
      </c>
      <c r="Q23" s="184">
        <f t="shared" si="2"/>
        <v>57100</v>
      </c>
      <c r="R23" s="184">
        <f t="shared" si="2"/>
        <v>57100</v>
      </c>
      <c r="S23" s="184">
        <f t="shared" si="2"/>
        <v>57100</v>
      </c>
      <c r="T23" s="184">
        <f t="shared" si="2"/>
        <v>57100</v>
      </c>
      <c r="U23" s="185">
        <f>SUM(U20:U22)</f>
        <v>1713900</v>
      </c>
      <c r="V23" s="185"/>
      <c r="W23" s="69"/>
      <c r="X23" s="64"/>
      <c r="Y23" s="64"/>
      <c r="Z23" s="64"/>
      <c r="AA23" s="64"/>
      <c r="AB23" s="64"/>
      <c r="AC23" s="64"/>
      <c r="AD23" s="64"/>
      <c r="AE23" s="64"/>
      <c r="AF23" s="64"/>
      <c r="AG23" s="64"/>
      <c r="AH23" s="64"/>
      <c r="AI23" s="64"/>
      <c r="AJ23" s="64"/>
      <c r="AK23" s="64"/>
      <c r="AL23" s="64"/>
      <c r="AM23" s="64"/>
      <c r="AN23" s="64"/>
      <c r="AO23" s="64"/>
      <c r="AP23" s="64"/>
      <c r="AQ23" s="64"/>
      <c r="AR23" s="64"/>
    </row>
    <row r="24" spans="1:44" ht="15" x14ac:dyDescent="0.2">
      <c r="A24" s="101"/>
      <c r="B24" s="101"/>
      <c r="C24" s="101"/>
      <c r="D24" s="101"/>
      <c r="E24" s="127"/>
      <c r="F24" s="101"/>
      <c r="G24" s="101"/>
      <c r="H24" s="128"/>
      <c r="I24" s="101"/>
      <c r="J24" s="101"/>
      <c r="K24" s="101"/>
      <c r="L24" s="101"/>
      <c r="M24" s="101"/>
      <c r="N24" s="101"/>
      <c r="O24" s="101"/>
      <c r="P24" s="101"/>
      <c r="Q24" s="101"/>
      <c r="R24" s="101"/>
      <c r="S24" s="101"/>
      <c r="T24" s="101"/>
      <c r="U24" s="101"/>
      <c r="V24" s="126"/>
      <c r="W24" s="7"/>
    </row>
    <row r="25" spans="1:44" ht="15" x14ac:dyDescent="0.2">
      <c r="A25" s="101"/>
      <c r="B25" s="101"/>
      <c r="C25" s="101"/>
      <c r="D25" s="101"/>
      <c r="E25" s="127"/>
      <c r="F25" s="101"/>
      <c r="G25" s="101"/>
      <c r="H25" s="128"/>
      <c r="I25" s="101"/>
      <c r="J25" s="101"/>
      <c r="K25" s="101"/>
      <c r="L25" s="101"/>
      <c r="M25" s="101"/>
      <c r="N25" s="101"/>
      <c r="O25" s="101"/>
      <c r="P25" s="101"/>
      <c r="Q25" s="101"/>
      <c r="R25" s="101"/>
      <c r="S25" s="101"/>
      <c r="T25" s="101"/>
      <c r="U25" s="101"/>
      <c r="V25" s="126"/>
    </row>
    <row r="26" spans="1:44" ht="15" x14ac:dyDescent="0.2">
      <c r="A26" s="101"/>
      <c r="B26" s="101"/>
      <c r="C26" s="101"/>
      <c r="D26" s="101"/>
      <c r="E26" s="127"/>
      <c r="F26" s="101"/>
      <c r="G26" s="101"/>
      <c r="H26" s="128"/>
      <c r="I26" s="101"/>
      <c r="J26" s="101"/>
      <c r="K26" s="101"/>
      <c r="L26" s="101"/>
      <c r="M26" s="101"/>
      <c r="N26" s="101"/>
      <c r="O26" s="101"/>
      <c r="P26" s="101"/>
      <c r="Q26" s="101"/>
      <c r="R26" s="101"/>
      <c r="S26" s="101"/>
      <c r="T26" s="101"/>
      <c r="U26" s="101"/>
      <c r="V26" s="126"/>
      <c r="W26" s="7"/>
      <c r="Y26" s="7"/>
      <c r="Z26" s="7"/>
      <c r="AA26" s="7"/>
    </row>
    <row r="28" spans="1:44" ht="15.75" x14ac:dyDescent="0.25">
      <c r="B28" s="900"/>
      <c r="C28" s="900"/>
      <c r="D28" s="126"/>
      <c r="E28" s="101"/>
      <c r="F28" s="101"/>
      <c r="G28" s="900"/>
      <c r="H28" s="900"/>
      <c r="I28" s="900"/>
      <c r="J28" s="900"/>
      <c r="K28" s="900"/>
      <c r="L28" s="900"/>
      <c r="M28" s="101"/>
      <c r="N28" s="476"/>
      <c r="O28" s="476"/>
      <c r="P28" s="101"/>
      <c r="Q28" s="853"/>
      <c r="R28" s="853"/>
      <c r="S28" s="853"/>
    </row>
    <row r="29" spans="1:44" ht="15.75" x14ac:dyDescent="0.25">
      <c r="B29" s="901" t="s">
        <v>1047</v>
      </c>
      <c r="C29" s="901"/>
      <c r="D29" s="126"/>
      <c r="E29" s="101"/>
      <c r="F29" s="101"/>
      <c r="G29" s="901" t="s">
        <v>536</v>
      </c>
      <c r="H29" s="901"/>
      <c r="I29" s="901"/>
      <c r="J29" s="901"/>
      <c r="K29" s="901"/>
      <c r="L29" s="901"/>
      <c r="M29" s="101"/>
      <c r="N29" s="477"/>
      <c r="O29" s="101"/>
      <c r="P29" s="477"/>
      <c r="Q29" s="901" t="s">
        <v>537</v>
      </c>
      <c r="R29" s="901"/>
      <c r="S29" s="901"/>
    </row>
    <row r="30" spans="1:44" ht="15.75" x14ac:dyDescent="0.25">
      <c r="B30" s="897" t="s">
        <v>1048</v>
      </c>
      <c r="C30" s="897"/>
      <c r="D30" s="126"/>
      <c r="E30" s="101"/>
      <c r="F30" s="101"/>
      <c r="G30" s="898" t="s">
        <v>546</v>
      </c>
      <c r="H30" s="898"/>
      <c r="I30" s="898"/>
      <c r="J30" s="898"/>
      <c r="K30" s="898"/>
      <c r="L30" s="898"/>
      <c r="M30" s="101"/>
      <c r="N30" s="476"/>
      <c r="O30" s="101"/>
      <c r="P30" s="476"/>
      <c r="Q30" s="899" t="s">
        <v>538</v>
      </c>
      <c r="R30" s="899"/>
      <c r="S30" s="899"/>
    </row>
  </sheetData>
  <mergeCells count="32">
    <mergeCell ref="B30:C30"/>
    <mergeCell ref="G30:L30"/>
    <mergeCell ref="Q30:S30"/>
    <mergeCell ref="B28:C28"/>
    <mergeCell ref="G28:L28"/>
    <mergeCell ref="Q28:S28"/>
    <mergeCell ref="B29:C29"/>
    <mergeCell ref="G29:L29"/>
    <mergeCell ref="Q29:S29"/>
    <mergeCell ref="F23:H23"/>
    <mergeCell ref="G18:G19"/>
    <mergeCell ref="H18:H19"/>
    <mergeCell ref="I18:K18"/>
    <mergeCell ref="A18:A19"/>
    <mergeCell ref="B18:B19"/>
    <mergeCell ref="C18:C19"/>
    <mergeCell ref="D18:D19"/>
    <mergeCell ref="E18:E19"/>
    <mergeCell ref="F18:F19"/>
    <mergeCell ref="A20:A22"/>
    <mergeCell ref="B20:B21"/>
    <mergeCell ref="A9:V9"/>
    <mergeCell ref="A10:V10"/>
    <mergeCell ref="A11:V11"/>
    <mergeCell ref="B14:V14"/>
    <mergeCell ref="B15:V15"/>
    <mergeCell ref="B16:V16"/>
    <mergeCell ref="U18:U19"/>
    <mergeCell ref="V18:V19"/>
    <mergeCell ref="L18:N18"/>
    <mergeCell ref="O18:Q18"/>
    <mergeCell ref="R18:T18"/>
  </mergeCells>
  <pageMargins left="0.23622047244094491" right="0.23622047244094491" top="0.39370078740157483" bottom="0.39370078740157483" header="0.31496062992125984" footer="0.31496062992125984"/>
  <pageSetup paperSize="5" scale="2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7FD0D-1626-4E7D-90C5-E1017DAE71E6}">
  <sheetPr codeName="Sheet29">
    <pageSetUpPr fitToPage="1"/>
  </sheetPr>
  <dimension ref="A10:U42"/>
  <sheetViews>
    <sheetView workbookViewId="0"/>
  </sheetViews>
  <sheetFormatPr defaultColWidth="13.140625" defaultRowHeight="14.25" x14ac:dyDescent="0.2"/>
  <cols>
    <col min="1" max="1" width="48.42578125" style="610" bestFit="1" customWidth="1"/>
    <col min="2" max="2" width="33.85546875" style="609" customWidth="1"/>
    <col min="3" max="3" width="33.5703125" style="610" customWidth="1"/>
    <col min="4" max="4" width="18.85546875" style="609" customWidth="1"/>
    <col min="5" max="5" width="14.28515625" style="609" customWidth="1"/>
    <col min="6" max="6" width="39.85546875" style="610" customWidth="1"/>
    <col min="7" max="7" width="12" style="609" customWidth="1"/>
    <col min="8" max="8" width="13.140625" style="609"/>
    <col min="9" max="9" width="9.7109375" style="609" customWidth="1"/>
    <col min="10" max="10" width="10.42578125" style="609" customWidth="1"/>
    <col min="11" max="11" width="8.5703125" style="609" customWidth="1"/>
    <col min="12" max="13" width="9.5703125" style="609" customWidth="1"/>
    <col min="14" max="14" width="12" style="609" customWidth="1"/>
    <col min="15" max="15" width="17.140625" style="609" customWidth="1"/>
    <col min="16" max="16" width="14.140625" style="609" customWidth="1"/>
    <col min="17" max="17" width="16.42578125" style="609" customWidth="1"/>
    <col min="18" max="18" width="15.42578125" style="609" customWidth="1"/>
    <col min="19" max="20" width="24.5703125" style="609" customWidth="1"/>
    <col min="21" max="21" width="22.140625" style="609" customWidth="1"/>
    <col min="22" max="16384" width="13.140625" style="609"/>
  </cols>
  <sheetData>
    <row r="10" spans="1:21" s="633" customFormat="1" ht="19.5" x14ac:dyDescent="0.25">
      <c r="A10" s="908" t="s">
        <v>0</v>
      </c>
      <c r="B10" s="908"/>
      <c r="C10" s="908"/>
      <c r="D10" s="908"/>
      <c r="E10" s="908"/>
      <c r="F10" s="908"/>
      <c r="G10" s="908"/>
      <c r="H10" s="908"/>
      <c r="I10" s="908"/>
      <c r="J10" s="908"/>
      <c r="K10" s="908"/>
      <c r="L10" s="908"/>
      <c r="M10" s="908"/>
      <c r="N10" s="908"/>
      <c r="O10" s="908"/>
      <c r="P10" s="908"/>
      <c r="Q10" s="908"/>
      <c r="R10" s="908"/>
      <c r="S10" s="908"/>
      <c r="T10" s="908"/>
      <c r="U10" s="908"/>
    </row>
    <row r="11" spans="1:21" s="633" customFormat="1" ht="19.5" x14ac:dyDescent="0.25">
      <c r="A11" s="908" t="s">
        <v>1</v>
      </c>
      <c r="B11" s="908"/>
      <c r="C11" s="908"/>
      <c r="D11" s="908"/>
      <c r="E11" s="908"/>
      <c r="F11" s="908"/>
      <c r="G11" s="908"/>
      <c r="H11" s="908"/>
      <c r="I11" s="908"/>
      <c r="J11" s="908"/>
      <c r="K11" s="908"/>
      <c r="L11" s="908"/>
      <c r="M11" s="908"/>
      <c r="N11" s="908"/>
      <c r="O11" s="908"/>
      <c r="P11" s="908"/>
      <c r="Q11" s="908"/>
      <c r="R11" s="908"/>
      <c r="S11" s="908"/>
      <c r="T11" s="908"/>
      <c r="U11" s="908"/>
    </row>
    <row r="12" spans="1:21" ht="19.5" x14ac:dyDescent="0.25">
      <c r="A12" s="632"/>
      <c r="B12" s="631"/>
      <c r="C12" s="632"/>
      <c r="D12" s="631"/>
      <c r="E12" s="631"/>
      <c r="F12" s="632"/>
      <c r="G12" s="631"/>
      <c r="H12" s="631"/>
      <c r="I12" s="631"/>
      <c r="J12" s="631"/>
      <c r="K12" s="631"/>
      <c r="L12" s="631"/>
      <c r="M12" s="631"/>
      <c r="N12" s="631"/>
      <c r="O12" s="631"/>
      <c r="P12" s="631"/>
      <c r="Q12" s="631"/>
      <c r="R12" s="631"/>
      <c r="S12" s="631"/>
      <c r="T12" s="631"/>
    </row>
    <row r="13" spans="1:21" s="615" customFormat="1" ht="15" x14ac:dyDescent="0.2">
      <c r="A13" s="695" t="s">
        <v>2</v>
      </c>
      <c r="B13" s="909" t="s">
        <v>72</v>
      </c>
      <c r="C13" s="909"/>
      <c r="D13" s="909"/>
      <c r="E13" s="909"/>
      <c r="F13" s="909"/>
      <c r="G13" s="909"/>
      <c r="H13" s="909"/>
      <c r="I13" s="909"/>
      <c r="J13" s="909"/>
      <c r="K13" s="909"/>
      <c r="L13" s="909"/>
      <c r="M13" s="909"/>
      <c r="N13" s="909"/>
      <c r="O13" s="909"/>
      <c r="P13" s="909"/>
      <c r="Q13" s="909"/>
      <c r="R13" s="909"/>
      <c r="S13" s="909"/>
      <c r="T13" s="909"/>
      <c r="U13" s="909"/>
    </row>
    <row r="14" spans="1:21" s="615" customFormat="1" ht="15" x14ac:dyDescent="0.2">
      <c r="A14" s="695" t="s">
        <v>3</v>
      </c>
      <c r="B14" s="909" t="s">
        <v>73</v>
      </c>
      <c r="C14" s="909"/>
      <c r="D14" s="909"/>
      <c r="E14" s="909"/>
      <c r="F14" s="909"/>
      <c r="G14" s="909"/>
      <c r="H14" s="909"/>
      <c r="I14" s="909"/>
      <c r="J14" s="909"/>
      <c r="K14" s="909"/>
      <c r="L14" s="909"/>
      <c r="M14" s="909"/>
      <c r="N14" s="909"/>
      <c r="O14" s="909"/>
      <c r="P14" s="909"/>
      <c r="Q14" s="909"/>
      <c r="R14" s="909"/>
      <c r="S14" s="909"/>
      <c r="T14" s="909"/>
      <c r="U14" s="909"/>
    </row>
    <row r="15" spans="1:21" s="615" customFormat="1" ht="15" x14ac:dyDescent="0.2">
      <c r="A15" s="695" t="s">
        <v>5</v>
      </c>
      <c r="B15" s="909" t="s">
        <v>74</v>
      </c>
      <c r="C15" s="909"/>
      <c r="D15" s="909"/>
      <c r="E15" s="909"/>
      <c r="F15" s="909"/>
      <c r="G15" s="909"/>
      <c r="H15" s="909"/>
      <c r="I15" s="909"/>
      <c r="J15" s="909"/>
      <c r="K15" s="909"/>
      <c r="L15" s="909"/>
      <c r="M15" s="909"/>
      <c r="N15" s="909"/>
      <c r="O15" s="909"/>
      <c r="P15" s="909"/>
      <c r="Q15" s="909"/>
      <c r="R15" s="909"/>
      <c r="S15" s="909"/>
      <c r="T15" s="909"/>
      <c r="U15" s="909"/>
    </row>
    <row r="16" spans="1:21" s="615" customFormat="1" ht="15" x14ac:dyDescent="0.2">
      <c r="A16" s="612"/>
      <c r="B16" s="611"/>
      <c r="C16" s="612"/>
      <c r="D16" s="611"/>
      <c r="E16" s="611"/>
      <c r="F16" s="612"/>
      <c r="G16" s="611"/>
      <c r="H16" s="611"/>
      <c r="I16" s="611"/>
      <c r="J16" s="611"/>
      <c r="K16" s="611"/>
      <c r="L16" s="611"/>
      <c r="M16" s="611"/>
      <c r="N16" s="611"/>
      <c r="O16" s="611"/>
      <c r="P16" s="611"/>
      <c r="Q16" s="611"/>
      <c r="R16" s="611"/>
      <c r="S16" s="611"/>
      <c r="T16" s="611"/>
    </row>
    <row r="17" spans="1:21" s="615" customFormat="1" ht="15" x14ac:dyDescent="0.2">
      <c r="A17" s="914" t="s">
        <v>6</v>
      </c>
      <c r="B17" s="914" t="s">
        <v>7</v>
      </c>
      <c r="C17" s="914" t="s">
        <v>8</v>
      </c>
      <c r="D17" s="918" t="s">
        <v>9</v>
      </c>
      <c r="E17" s="918"/>
      <c r="F17" s="913" t="s">
        <v>10</v>
      </c>
      <c r="G17" s="922" t="s">
        <v>11</v>
      </c>
      <c r="H17" s="922"/>
      <c r="I17" s="922"/>
      <c r="J17" s="922" t="s">
        <v>12</v>
      </c>
      <c r="K17" s="922"/>
      <c r="L17" s="922"/>
      <c r="M17" s="922" t="s">
        <v>13</v>
      </c>
      <c r="N17" s="922"/>
      <c r="O17" s="922"/>
      <c r="P17" s="922" t="s">
        <v>14</v>
      </c>
      <c r="Q17" s="922"/>
      <c r="R17" s="922"/>
      <c r="S17" s="913" t="s">
        <v>15</v>
      </c>
      <c r="T17" s="913" t="s">
        <v>16</v>
      </c>
      <c r="U17" s="913" t="s">
        <v>232</v>
      </c>
    </row>
    <row r="18" spans="1:21" s="627" customFormat="1" ht="30" x14ac:dyDescent="0.25">
      <c r="A18" s="915"/>
      <c r="B18" s="915"/>
      <c r="C18" s="915"/>
      <c r="D18" s="628" t="s">
        <v>17</v>
      </c>
      <c r="E18" s="628" t="s">
        <v>18</v>
      </c>
      <c r="F18" s="913"/>
      <c r="G18" s="629" t="s">
        <v>19</v>
      </c>
      <c r="H18" s="629" t="s">
        <v>20</v>
      </c>
      <c r="I18" s="629" t="s">
        <v>21</v>
      </c>
      <c r="J18" s="629" t="s">
        <v>22</v>
      </c>
      <c r="K18" s="629" t="s">
        <v>23</v>
      </c>
      <c r="L18" s="629" t="s">
        <v>24</v>
      </c>
      <c r="M18" s="629" t="s">
        <v>25</v>
      </c>
      <c r="N18" s="629" t="s">
        <v>26</v>
      </c>
      <c r="O18" s="629" t="s">
        <v>27</v>
      </c>
      <c r="P18" s="629" t="s">
        <v>28</v>
      </c>
      <c r="Q18" s="629" t="s">
        <v>29</v>
      </c>
      <c r="R18" s="629" t="s">
        <v>30</v>
      </c>
      <c r="S18" s="913"/>
      <c r="T18" s="913"/>
      <c r="U18" s="913"/>
    </row>
    <row r="19" spans="1:21" s="615" customFormat="1" ht="60" x14ac:dyDescent="0.2">
      <c r="A19" s="910" t="s">
        <v>954</v>
      </c>
      <c r="B19" s="624" t="s">
        <v>75</v>
      </c>
      <c r="C19" s="619" t="s">
        <v>76</v>
      </c>
      <c r="D19" s="616" t="s">
        <v>18</v>
      </c>
      <c r="E19" s="625">
        <v>1300</v>
      </c>
      <c r="F19" s="624" t="s">
        <v>1213</v>
      </c>
      <c r="G19" s="617"/>
      <c r="H19" s="617"/>
      <c r="I19" s="617">
        <v>325</v>
      </c>
      <c r="J19" s="617"/>
      <c r="K19" s="617"/>
      <c r="L19" s="617">
        <v>325</v>
      </c>
      <c r="M19" s="617"/>
      <c r="N19" s="617"/>
      <c r="O19" s="617">
        <v>325</v>
      </c>
      <c r="P19" s="617"/>
      <c r="Q19" s="617">
        <v>325</v>
      </c>
      <c r="R19" s="617"/>
      <c r="S19" s="919">
        <v>260500</v>
      </c>
      <c r="T19" s="616" t="s">
        <v>78</v>
      </c>
      <c r="U19" s="622"/>
    </row>
    <row r="20" spans="1:21" s="615" customFormat="1" ht="75" customHeight="1" x14ac:dyDescent="0.2">
      <c r="A20" s="911"/>
      <c r="B20" s="626" t="s">
        <v>79</v>
      </c>
      <c r="C20" s="619" t="s">
        <v>80</v>
      </c>
      <c r="D20" s="616" t="s">
        <v>18</v>
      </c>
      <c r="E20" s="625">
        <v>1000</v>
      </c>
      <c r="F20" s="624" t="s">
        <v>955</v>
      </c>
      <c r="G20" s="617"/>
      <c r="H20" s="617"/>
      <c r="I20" s="617"/>
      <c r="J20" s="617">
        <v>250</v>
      </c>
      <c r="K20" s="617"/>
      <c r="L20" s="617"/>
      <c r="M20" s="617">
        <v>250</v>
      </c>
      <c r="N20" s="617"/>
      <c r="O20" s="617">
        <v>200</v>
      </c>
      <c r="P20" s="617"/>
      <c r="Q20" s="617">
        <v>300</v>
      </c>
      <c r="R20" s="617"/>
      <c r="S20" s="920"/>
      <c r="T20" s="616" t="s">
        <v>81</v>
      </c>
      <c r="U20" s="622"/>
    </row>
    <row r="21" spans="1:21" s="615" customFormat="1" ht="60" x14ac:dyDescent="0.2">
      <c r="A21" s="911"/>
      <c r="B21" s="624" t="s">
        <v>82</v>
      </c>
      <c r="C21" s="619" t="s">
        <v>76</v>
      </c>
      <c r="D21" s="616" t="s">
        <v>18</v>
      </c>
      <c r="E21" s="625">
        <v>6465</v>
      </c>
      <c r="F21" s="624" t="s">
        <v>956</v>
      </c>
      <c r="G21" s="617"/>
      <c r="H21" s="617">
        <v>900</v>
      </c>
      <c r="I21" s="617">
        <v>400</v>
      </c>
      <c r="J21" s="617">
        <v>350</v>
      </c>
      <c r="K21" s="617">
        <v>350</v>
      </c>
      <c r="L21" s="617">
        <v>400</v>
      </c>
      <c r="M21" s="617">
        <v>350</v>
      </c>
      <c r="N21" s="617">
        <v>650</v>
      </c>
      <c r="O21" s="617">
        <v>600</v>
      </c>
      <c r="P21" s="617"/>
      <c r="Q21" s="617">
        <v>650</v>
      </c>
      <c r="R21" s="617">
        <v>915</v>
      </c>
      <c r="S21" s="921"/>
      <c r="T21" s="616" t="s">
        <v>78</v>
      </c>
      <c r="U21" s="622"/>
    </row>
    <row r="22" spans="1:21" s="615" customFormat="1" ht="45" x14ac:dyDescent="0.2">
      <c r="A22" s="911"/>
      <c r="B22" s="626" t="s">
        <v>83</v>
      </c>
      <c r="C22" s="619" t="s">
        <v>84</v>
      </c>
      <c r="D22" s="616" t="s">
        <v>18</v>
      </c>
      <c r="E22" s="625">
        <v>650</v>
      </c>
      <c r="F22" s="624" t="s">
        <v>1214</v>
      </c>
      <c r="G22" s="617"/>
      <c r="H22" s="617"/>
      <c r="I22" s="617"/>
      <c r="J22" s="617"/>
      <c r="K22" s="617">
        <v>217</v>
      </c>
      <c r="L22" s="617"/>
      <c r="M22" s="617"/>
      <c r="N22" s="617">
        <v>218</v>
      </c>
      <c r="O22" s="617"/>
      <c r="P22" s="617">
        <v>215</v>
      </c>
      <c r="Q22" s="617"/>
      <c r="R22" s="617"/>
      <c r="S22" s="623"/>
      <c r="T22" s="616" t="s">
        <v>81</v>
      </c>
      <c r="U22" s="622"/>
    </row>
    <row r="23" spans="1:21" s="615" customFormat="1" ht="60" x14ac:dyDescent="0.2">
      <c r="A23" s="912"/>
      <c r="B23" s="626" t="s">
        <v>75</v>
      </c>
      <c r="C23" s="619" t="s">
        <v>76</v>
      </c>
      <c r="D23" s="616" t="s">
        <v>18</v>
      </c>
      <c r="E23" s="625">
        <v>493</v>
      </c>
      <c r="F23" s="624" t="s">
        <v>1215</v>
      </c>
      <c r="G23" s="617">
        <v>493</v>
      </c>
      <c r="H23" s="617"/>
      <c r="I23" s="617"/>
      <c r="J23" s="617"/>
      <c r="K23" s="617"/>
      <c r="L23" s="617"/>
      <c r="M23" s="617"/>
      <c r="N23" s="617"/>
      <c r="O23" s="617"/>
      <c r="P23" s="617"/>
      <c r="Q23" s="617"/>
      <c r="R23" s="617"/>
      <c r="S23" s="623"/>
      <c r="T23" s="616" t="s">
        <v>1190</v>
      </c>
      <c r="U23" s="622"/>
    </row>
    <row r="24" spans="1:21" s="615" customFormat="1" ht="57" customHeight="1" x14ac:dyDescent="0.2">
      <c r="A24" s="696" t="s">
        <v>1202</v>
      </c>
      <c r="B24" s="696" t="s">
        <v>90</v>
      </c>
      <c r="C24" s="697" t="s">
        <v>91</v>
      </c>
      <c r="D24" s="659" t="s">
        <v>18</v>
      </c>
      <c r="E24" s="698">
        <v>2</v>
      </c>
      <c r="F24" s="696" t="s">
        <v>1216</v>
      </c>
      <c r="G24" s="699"/>
      <c r="H24" s="699"/>
      <c r="I24" s="698">
        <v>2</v>
      </c>
      <c r="J24" s="699"/>
      <c r="K24" s="699"/>
      <c r="L24" s="699"/>
      <c r="M24" s="699"/>
      <c r="N24" s="699"/>
      <c r="O24" s="699"/>
      <c r="P24" s="699"/>
      <c r="Q24" s="699"/>
      <c r="R24" s="699"/>
      <c r="S24" s="700"/>
      <c r="T24" s="659" t="s">
        <v>92</v>
      </c>
      <c r="U24" s="659"/>
    </row>
    <row r="25" spans="1:21" s="620" customFormat="1" ht="51" customHeight="1" x14ac:dyDescent="0.2">
      <c r="A25" s="626" t="s">
        <v>1203</v>
      </c>
      <c r="B25" s="626" t="s">
        <v>921</v>
      </c>
      <c r="C25" s="619" t="s">
        <v>920</v>
      </c>
      <c r="D25" s="616" t="s">
        <v>47</v>
      </c>
      <c r="E25" s="625">
        <v>2511</v>
      </c>
      <c r="F25" s="624" t="s">
        <v>1217</v>
      </c>
      <c r="G25" s="617"/>
      <c r="H25" s="617"/>
      <c r="I25" s="617">
        <v>2511</v>
      </c>
      <c r="J25" s="617"/>
      <c r="K25" s="617"/>
      <c r="L25" s="617"/>
      <c r="M25" s="617"/>
      <c r="N25" s="617"/>
      <c r="O25" s="617"/>
      <c r="P25" s="617"/>
      <c r="Q25" s="617"/>
      <c r="R25" s="617"/>
      <c r="S25" s="623"/>
      <c r="T25" s="616" t="s">
        <v>1211</v>
      </c>
      <c r="U25" s="622"/>
    </row>
    <row r="26" spans="1:21" s="615" customFormat="1" ht="255" x14ac:dyDescent="0.2">
      <c r="A26" s="696" t="s">
        <v>1204</v>
      </c>
      <c r="B26" s="696" t="s">
        <v>1189</v>
      </c>
      <c r="C26" s="697" t="s">
        <v>922</v>
      </c>
      <c r="D26" s="659" t="s">
        <v>47</v>
      </c>
      <c r="E26" s="698">
        <v>2</v>
      </c>
      <c r="F26" s="696" t="s">
        <v>1218</v>
      </c>
      <c r="G26" s="699"/>
      <c r="H26" s="699"/>
      <c r="I26" s="698">
        <v>1</v>
      </c>
      <c r="J26" s="699"/>
      <c r="K26" s="699"/>
      <c r="L26" s="698">
        <v>1</v>
      </c>
      <c r="M26" s="699"/>
      <c r="N26" s="699"/>
      <c r="O26" s="699"/>
      <c r="P26" s="699"/>
      <c r="Q26" s="699"/>
      <c r="R26" s="699"/>
      <c r="S26" s="700"/>
      <c r="T26" s="659" t="s">
        <v>92</v>
      </c>
      <c r="U26" s="659"/>
    </row>
    <row r="27" spans="1:21" s="615" customFormat="1" ht="180" x14ac:dyDescent="0.2">
      <c r="A27" s="626" t="s">
        <v>1205</v>
      </c>
      <c r="B27" s="626" t="s">
        <v>925</v>
      </c>
      <c r="C27" s="619" t="s">
        <v>923</v>
      </c>
      <c r="D27" s="616" t="s">
        <v>18</v>
      </c>
      <c r="E27" s="625">
        <v>1</v>
      </c>
      <c r="F27" s="624" t="s">
        <v>1219</v>
      </c>
      <c r="G27" s="617"/>
      <c r="H27" s="617"/>
      <c r="I27" s="617"/>
      <c r="J27" s="617">
        <v>1</v>
      </c>
      <c r="K27" s="617"/>
      <c r="L27" s="617"/>
      <c r="M27" s="617"/>
      <c r="N27" s="617"/>
      <c r="O27" s="617"/>
      <c r="P27" s="617"/>
      <c r="Q27" s="617"/>
      <c r="R27" s="617"/>
      <c r="S27" s="623">
        <v>200000</v>
      </c>
      <c r="T27" s="616" t="s">
        <v>1188</v>
      </c>
      <c r="U27" s="622"/>
    </row>
    <row r="28" spans="1:21" s="615" customFormat="1" ht="240" x14ac:dyDescent="0.2">
      <c r="A28" s="696" t="s">
        <v>1206</v>
      </c>
      <c r="B28" s="696" t="s">
        <v>924</v>
      </c>
      <c r="C28" s="697" t="s">
        <v>926</v>
      </c>
      <c r="D28" s="659" t="s">
        <v>47</v>
      </c>
      <c r="E28" s="698">
        <v>2</v>
      </c>
      <c r="F28" s="696" t="s">
        <v>1220</v>
      </c>
      <c r="G28" s="699"/>
      <c r="H28" s="699"/>
      <c r="I28" s="698"/>
      <c r="J28" s="699"/>
      <c r="K28" s="699"/>
      <c r="L28" s="698">
        <v>1</v>
      </c>
      <c r="M28" s="699"/>
      <c r="N28" s="699"/>
      <c r="O28" s="699"/>
      <c r="P28" s="698">
        <v>1</v>
      </c>
      <c r="Q28" s="699"/>
      <c r="R28" s="699"/>
      <c r="S28" s="700"/>
      <c r="T28" s="659" t="s">
        <v>92</v>
      </c>
      <c r="U28" s="659"/>
    </row>
    <row r="29" spans="1:21" s="615" customFormat="1" ht="87" customHeight="1" x14ac:dyDescent="0.2">
      <c r="A29" s="626" t="s">
        <v>1207</v>
      </c>
      <c r="B29" s="626" t="s">
        <v>928</v>
      </c>
      <c r="C29" s="619" t="s">
        <v>929</v>
      </c>
      <c r="D29" s="616" t="s">
        <v>18</v>
      </c>
      <c r="E29" s="625">
        <v>1</v>
      </c>
      <c r="F29" s="624" t="s">
        <v>1221</v>
      </c>
      <c r="G29" s="617"/>
      <c r="H29" s="617"/>
      <c r="I29" s="617"/>
      <c r="J29" s="617"/>
      <c r="K29" s="617"/>
      <c r="L29" s="617"/>
      <c r="M29" s="617"/>
      <c r="N29" s="617"/>
      <c r="O29" s="617"/>
      <c r="P29" s="617"/>
      <c r="Q29" s="617"/>
      <c r="R29" s="617">
        <v>1</v>
      </c>
      <c r="S29" s="623"/>
      <c r="T29" s="616" t="s">
        <v>1211</v>
      </c>
      <c r="U29" s="702" t="s">
        <v>927</v>
      </c>
    </row>
    <row r="30" spans="1:21" s="615" customFormat="1" ht="105" x14ac:dyDescent="0.2">
      <c r="A30" s="916" t="s">
        <v>1208</v>
      </c>
      <c r="B30" s="701" t="s">
        <v>85</v>
      </c>
      <c r="C30" s="659" t="s">
        <v>86</v>
      </c>
      <c r="D30" s="659" t="s">
        <v>87</v>
      </c>
      <c r="E30" s="698">
        <v>7200</v>
      </c>
      <c r="F30" s="701" t="s">
        <v>1222</v>
      </c>
      <c r="G30" s="698"/>
      <c r="H30" s="698">
        <v>655</v>
      </c>
      <c r="I30" s="698">
        <v>655</v>
      </c>
      <c r="J30" s="698">
        <v>655</v>
      </c>
      <c r="K30" s="698">
        <v>655</v>
      </c>
      <c r="L30" s="698">
        <v>655</v>
      </c>
      <c r="M30" s="698">
        <v>655</v>
      </c>
      <c r="N30" s="698">
        <v>655</v>
      </c>
      <c r="O30" s="698">
        <v>655</v>
      </c>
      <c r="P30" s="698">
        <v>655</v>
      </c>
      <c r="Q30" s="698">
        <v>655</v>
      </c>
      <c r="R30" s="698">
        <v>650</v>
      </c>
      <c r="S30" s="700">
        <v>260500</v>
      </c>
      <c r="T30" s="659" t="s">
        <v>88</v>
      </c>
      <c r="U30" s="659"/>
    </row>
    <row r="31" spans="1:21" s="615" customFormat="1" ht="105" x14ac:dyDescent="0.2">
      <c r="A31" s="917"/>
      <c r="B31" s="701" t="s">
        <v>89</v>
      </c>
      <c r="C31" s="659" t="s">
        <v>1187</v>
      </c>
      <c r="D31" s="659" t="s">
        <v>87</v>
      </c>
      <c r="E31" s="698">
        <v>440</v>
      </c>
      <c r="F31" s="701" t="s">
        <v>1223</v>
      </c>
      <c r="G31" s="698"/>
      <c r="H31" s="698"/>
      <c r="I31" s="698"/>
      <c r="J31" s="698">
        <v>147</v>
      </c>
      <c r="K31" s="698"/>
      <c r="L31" s="698"/>
      <c r="M31" s="698">
        <v>147</v>
      </c>
      <c r="N31" s="698"/>
      <c r="O31" s="698"/>
      <c r="P31" s="698">
        <v>146</v>
      </c>
      <c r="Q31" s="698"/>
      <c r="R31" s="698"/>
      <c r="S31" s="700"/>
      <c r="T31" s="659" t="s">
        <v>88</v>
      </c>
      <c r="U31" s="659"/>
    </row>
    <row r="32" spans="1:21" s="615" customFormat="1" ht="106.5" customHeight="1" x14ac:dyDescent="0.2">
      <c r="A32" s="626" t="s">
        <v>1209</v>
      </c>
      <c r="B32" s="626" t="s">
        <v>1186</v>
      </c>
      <c r="C32" s="619" t="s">
        <v>1185</v>
      </c>
      <c r="D32" s="616" t="s">
        <v>18</v>
      </c>
      <c r="E32" s="625">
        <v>1</v>
      </c>
      <c r="F32" s="624" t="s">
        <v>1224</v>
      </c>
      <c r="G32" s="617"/>
      <c r="H32" s="617"/>
      <c r="I32" s="617"/>
      <c r="J32" s="617"/>
      <c r="K32" s="617"/>
      <c r="L32" s="617"/>
      <c r="M32" s="617"/>
      <c r="N32" s="617"/>
      <c r="O32" s="617"/>
      <c r="P32" s="617"/>
      <c r="Q32" s="617"/>
      <c r="R32" s="617">
        <v>1</v>
      </c>
      <c r="S32" s="623"/>
      <c r="T32" s="616"/>
      <c r="U32" s="703" t="s">
        <v>1184</v>
      </c>
    </row>
    <row r="33" spans="1:21" ht="15" x14ac:dyDescent="0.2">
      <c r="A33" s="681"/>
      <c r="B33" s="613"/>
      <c r="C33" s="613"/>
      <c r="D33" s="613"/>
      <c r="E33" s="613"/>
      <c r="F33" s="613"/>
      <c r="G33" s="613"/>
      <c r="H33" s="613"/>
      <c r="I33" s="613"/>
      <c r="J33" s="613"/>
      <c r="K33" s="613"/>
      <c r="L33" s="613"/>
      <c r="M33" s="613"/>
      <c r="N33" s="613"/>
      <c r="O33" s="613"/>
      <c r="P33" s="613"/>
      <c r="Q33" s="613"/>
      <c r="R33" s="613"/>
      <c r="S33" s="614">
        <f>SUM(S19:S31)</f>
        <v>721000</v>
      </c>
      <c r="T33" s="613"/>
      <c r="U33" s="613"/>
    </row>
    <row r="34" spans="1:21" ht="15" x14ac:dyDescent="0.2">
      <c r="A34" s="612"/>
      <c r="B34" s="611"/>
      <c r="C34" s="612"/>
      <c r="D34" s="611"/>
      <c r="E34" s="611"/>
      <c r="F34" s="612"/>
      <c r="G34" s="611"/>
      <c r="H34" s="611"/>
      <c r="I34" s="611"/>
      <c r="J34" s="611"/>
      <c r="K34" s="611"/>
      <c r="L34" s="611"/>
      <c r="M34" s="611"/>
      <c r="N34" s="611"/>
      <c r="O34" s="611"/>
      <c r="P34" s="611"/>
      <c r="Q34" s="611"/>
      <c r="R34" s="611"/>
      <c r="S34" s="611"/>
      <c r="T34" s="611"/>
    </row>
    <row r="35" spans="1:21" ht="15" x14ac:dyDescent="0.2">
      <c r="A35" s="612"/>
      <c r="B35" s="611"/>
      <c r="C35" s="612"/>
      <c r="D35" s="611"/>
      <c r="E35" s="611"/>
      <c r="F35" s="612"/>
      <c r="G35" s="611"/>
      <c r="H35" s="611"/>
      <c r="I35" s="611"/>
      <c r="J35" s="611"/>
      <c r="K35" s="611"/>
      <c r="L35" s="611"/>
      <c r="M35" s="611"/>
      <c r="N35" s="611"/>
      <c r="O35" s="611"/>
      <c r="P35" s="611"/>
      <c r="Q35" s="611"/>
      <c r="R35" s="611"/>
      <c r="S35" s="611"/>
      <c r="T35" s="611"/>
    </row>
    <row r="36" spans="1:21" ht="15" x14ac:dyDescent="0.2">
      <c r="A36" s="612"/>
      <c r="B36" s="611"/>
      <c r="C36" s="612"/>
      <c r="D36" s="611"/>
      <c r="E36" s="611"/>
      <c r="F36" s="612"/>
      <c r="G36" s="611"/>
      <c r="H36" s="611"/>
      <c r="I36" s="611"/>
      <c r="J36" s="611"/>
      <c r="K36" s="611"/>
      <c r="L36" s="611"/>
      <c r="M36" s="611"/>
      <c r="N36" s="611"/>
      <c r="O36" s="611"/>
      <c r="P36" s="611"/>
      <c r="Q36" s="611"/>
      <c r="R36" s="611"/>
      <c r="S36" s="611"/>
      <c r="T36" s="611"/>
    </row>
    <row r="39" spans="1:21" ht="15.75" x14ac:dyDescent="0.25">
      <c r="B39" s="900"/>
      <c r="C39" s="900"/>
      <c r="D39" s="126"/>
      <c r="E39" s="101"/>
      <c r="F39" s="101"/>
      <c r="G39" s="900"/>
      <c r="H39" s="900"/>
      <c r="I39" s="900"/>
      <c r="J39" s="900"/>
      <c r="K39" s="900"/>
      <c r="L39" s="900"/>
      <c r="M39" s="101"/>
      <c r="N39" s="476"/>
      <c r="O39" s="476"/>
      <c r="P39" s="101"/>
      <c r="Q39" s="853"/>
      <c r="R39" s="853"/>
      <c r="S39" s="853"/>
    </row>
    <row r="40" spans="1:21" ht="15.75" x14ac:dyDescent="0.25">
      <c r="B40" s="901" t="s">
        <v>1049</v>
      </c>
      <c r="C40" s="901"/>
      <c r="D40" s="126"/>
      <c r="E40" s="101"/>
      <c r="F40" s="101"/>
      <c r="G40" s="901" t="s">
        <v>536</v>
      </c>
      <c r="H40" s="901"/>
      <c r="I40" s="901"/>
      <c r="J40" s="901"/>
      <c r="K40" s="901"/>
      <c r="L40" s="901"/>
      <c r="M40" s="101"/>
      <c r="N40" s="477"/>
      <c r="O40" s="101"/>
      <c r="P40" s="477"/>
      <c r="Q40" s="901" t="s">
        <v>537</v>
      </c>
      <c r="R40" s="901"/>
      <c r="S40" s="901"/>
    </row>
    <row r="41" spans="1:21" ht="15.75" x14ac:dyDescent="0.25">
      <c r="B41" s="897" t="s">
        <v>1212</v>
      </c>
      <c r="C41" s="897"/>
      <c r="D41" s="126"/>
      <c r="E41" s="101"/>
      <c r="F41" s="101"/>
      <c r="G41" s="898" t="s">
        <v>546</v>
      </c>
      <c r="H41" s="898"/>
      <c r="I41" s="898"/>
      <c r="J41" s="898"/>
      <c r="K41" s="898"/>
      <c r="L41" s="898"/>
      <c r="M41" s="101"/>
      <c r="N41" s="476"/>
      <c r="O41" s="101"/>
      <c r="P41" s="476"/>
      <c r="Q41" s="899" t="s">
        <v>538</v>
      </c>
      <c r="R41" s="899"/>
      <c r="S41" s="899"/>
    </row>
    <row r="42" spans="1:21" x14ac:dyDescent="0.2">
      <c r="B42" s="2"/>
      <c r="C42" s="2"/>
      <c r="D42" s="2"/>
      <c r="E42" s="8"/>
      <c r="F42" s="2"/>
      <c r="G42" s="2"/>
      <c r="H42" s="9"/>
      <c r="I42" s="2"/>
      <c r="J42" s="2"/>
      <c r="K42" s="2"/>
      <c r="L42" s="2"/>
      <c r="M42" s="2"/>
      <c r="N42" s="2"/>
      <c r="O42" s="2"/>
      <c r="P42" s="2"/>
      <c r="Q42" s="2"/>
      <c r="R42" s="2"/>
      <c r="S42" s="2"/>
    </row>
  </sheetData>
  <mergeCells count="29">
    <mergeCell ref="U17:U18"/>
    <mergeCell ref="S19:S21"/>
    <mergeCell ref="G17:I17"/>
    <mergeCell ref="J17:L17"/>
    <mergeCell ref="M17:O17"/>
    <mergeCell ref="P17:R17"/>
    <mergeCell ref="S17:S18"/>
    <mergeCell ref="T17:T18"/>
    <mergeCell ref="A17:A18"/>
    <mergeCell ref="B17:B18"/>
    <mergeCell ref="C17:C18"/>
    <mergeCell ref="A30:A31"/>
    <mergeCell ref="D17:E17"/>
    <mergeCell ref="B41:C41"/>
    <mergeCell ref="G41:L41"/>
    <mergeCell ref="Q41:S41"/>
    <mergeCell ref="A10:U10"/>
    <mergeCell ref="A11:U11"/>
    <mergeCell ref="B13:U13"/>
    <mergeCell ref="B14:U14"/>
    <mergeCell ref="B15:U15"/>
    <mergeCell ref="B39:C39"/>
    <mergeCell ref="G39:L39"/>
    <mergeCell ref="Q39:S39"/>
    <mergeCell ref="B40:C40"/>
    <mergeCell ref="G40:L40"/>
    <mergeCell ref="Q40:S40"/>
    <mergeCell ref="A19:A23"/>
    <mergeCell ref="F17:F18"/>
  </mergeCells>
  <pageMargins left="0.23622047244094491" right="0.23622047244094491" top="0.39370078740157483" bottom="0.39370078740157483" header="0.31496062992125984" footer="0.31496062992125984"/>
  <pageSetup paperSize="5" scale="42" fitToHeight="0" orientation="landscape" r:id="rId1"/>
  <headerFooter>
    <oddFooter>&amp;CPágina &amp;P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07317C8A32A3645BA01F9E5F2F7DBA4" ma:contentTypeVersion="16" ma:contentTypeDescription="Crear nuevo documento." ma:contentTypeScope="" ma:versionID="33e41b6eb2e25617737cb7e5098bb0d3">
  <xsd:schema xmlns:xsd="http://www.w3.org/2001/XMLSchema" xmlns:xs="http://www.w3.org/2001/XMLSchema" xmlns:p="http://schemas.microsoft.com/office/2006/metadata/properties" xmlns:ns3="d5c4e3f9-af64-4719-90be-160b640e81fa" xmlns:ns4="da7de7a0-710e-4fef-a6cd-19f38e5ab606" targetNamespace="http://schemas.microsoft.com/office/2006/metadata/properties" ma:root="true" ma:fieldsID="bc5c1227068b2bc24cf1e86b400bea02" ns3:_="" ns4:_="">
    <xsd:import namespace="d5c4e3f9-af64-4719-90be-160b640e81fa"/>
    <xsd:import namespace="da7de7a0-710e-4fef-a6cd-19f38e5ab60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_activity" minOccurs="0"/>
                <xsd:element ref="ns3:MediaServiceObjectDetectorVersion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c4e3f9-af64-4719-90be-160b640e81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7de7a0-710e-4fef-a6cd-19f38e5ab60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d5c4e3f9-af64-4719-90be-160b640e81fa" xsi:nil="true"/>
  </documentManagement>
</p:properties>
</file>

<file path=customXml/itemProps1.xml><?xml version="1.0" encoding="utf-8"?>
<ds:datastoreItem xmlns:ds="http://schemas.openxmlformats.org/officeDocument/2006/customXml" ds:itemID="{F4A5D990-8B44-4103-AE30-97DCDF7D35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c4e3f9-af64-4719-90be-160b640e81fa"/>
    <ds:schemaRef ds:uri="da7de7a0-710e-4fef-a6cd-19f38e5ab6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54059F-54D0-4E11-94EE-B7076B1E2AA3}">
  <ds:schemaRefs>
    <ds:schemaRef ds:uri="http://schemas.microsoft.com/sharepoint/v3/contenttype/forms"/>
  </ds:schemaRefs>
</ds:datastoreItem>
</file>

<file path=customXml/itemProps3.xml><?xml version="1.0" encoding="utf-8"?>
<ds:datastoreItem xmlns:ds="http://schemas.openxmlformats.org/officeDocument/2006/customXml" ds:itemID="{57CEE4AD-7355-417B-9C77-6388614D5D30}">
  <ds:schemaRefs>
    <ds:schemaRef ds:uri="da7de7a0-710e-4fef-a6cd-19f38e5ab606"/>
    <ds:schemaRef ds:uri="http://purl.org/dc/elements/1.1/"/>
    <ds:schemaRef ds:uri="http://schemas.microsoft.com/office/2006/metadata/properties"/>
    <ds:schemaRef ds:uri="d5c4e3f9-af64-4719-90be-160b640e81fa"/>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14</vt:i4>
      </vt:variant>
    </vt:vector>
  </HeadingPairs>
  <TitlesOfParts>
    <vt:vector size="44" baseType="lpstr">
      <vt:lpstr>Introducción</vt:lpstr>
      <vt:lpstr>Marco Estratégico</vt:lpstr>
      <vt:lpstr>POA Análisis </vt:lpstr>
      <vt:lpstr>Presupuesto  Análisis</vt:lpstr>
      <vt:lpstr>POA Operaciones</vt:lpstr>
      <vt:lpstr>Presupuesto Operaciones</vt:lpstr>
      <vt:lpstr> POA Revisión y Control Datos</vt:lpstr>
      <vt:lpstr>Presupuesto Revisión y Control </vt:lpstr>
      <vt:lpstr>POA Cartografía </vt:lpstr>
      <vt:lpstr>Presupuesto Cartografía </vt:lpstr>
      <vt:lpstr>POA Adm. y Financiero </vt:lpstr>
      <vt:lpstr>Presupuesto Adm. y Financie </vt:lpstr>
      <vt:lpstr>POA Calidad en la Gestión</vt:lpstr>
      <vt:lpstr>Presupuesto Calidad en la Gest</vt:lpstr>
      <vt:lpstr>POA Comunicaciones </vt:lpstr>
      <vt:lpstr>Presupuesto Comunicaciones </vt:lpstr>
      <vt:lpstr>POA Recursos Humanos</vt:lpstr>
      <vt:lpstr>Presupuesto Recursos Humanos</vt:lpstr>
      <vt:lpstr>POA Juridico</vt:lpstr>
      <vt:lpstr>Presupuesto Juridico</vt:lpstr>
      <vt:lpstr>POA Planificación y Desarro </vt:lpstr>
      <vt:lpstr>Presupuesto Planificación y D</vt:lpstr>
      <vt:lpstr>POA TIC</vt:lpstr>
      <vt:lpstr>Presupuesto TIC </vt:lpstr>
      <vt:lpstr>Presupuesto por Programatica</vt:lpstr>
      <vt:lpstr>Presupuesto por Objeto de Gasto</vt:lpstr>
      <vt:lpstr>Presupuesto D. por Cuenta</vt:lpstr>
      <vt:lpstr>P. por Fuente de Financiamiento</vt:lpstr>
      <vt:lpstr>Presuesto POA aprobado</vt:lpstr>
      <vt:lpstr>Presupuesto por fuente de finan</vt:lpstr>
      <vt:lpstr>'POA Adm. y Financiero '!Print_Titles</vt:lpstr>
      <vt:lpstr>'POA Análisis '!Print_Titles</vt:lpstr>
      <vt:lpstr>'POA Calidad en la Gestión'!Print_Titles</vt:lpstr>
      <vt:lpstr>'POA Cartografía '!Print_Titles</vt:lpstr>
      <vt:lpstr>'POA Comunicaciones '!Print_Titles</vt:lpstr>
      <vt:lpstr>'POA Operaciones'!Print_Titles</vt:lpstr>
      <vt:lpstr>'POA Planificación y Desarro '!Print_Titles</vt:lpstr>
      <vt:lpstr>'POA Recursos Humanos'!Print_Titles</vt:lpstr>
      <vt:lpstr>'POA TIC'!Print_Titles</vt:lpstr>
      <vt:lpstr>'Presupuesto Adm. y Financie '!Print_Titles</vt:lpstr>
      <vt:lpstr>'Presupuesto Cartografía '!Print_Titles</vt:lpstr>
      <vt:lpstr>'Presupuesto Comunicaciones '!Print_Titles</vt:lpstr>
      <vt:lpstr>'Presupuesto Recursos Humanos'!Print_Titles</vt:lpstr>
      <vt:lpstr>'Presupuesto TIC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Narolin Inoa</dc:creator>
  <cp:lastModifiedBy>Narolin Inoa</cp:lastModifiedBy>
  <cp:lastPrinted>2024-02-14T16:01:56Z</cp:lastPrinted>
  <dcterms:created xsi:type="dcterms:W3CDTF">2023-09-18T19:47:44Z</dcterms:created>
  <dcterms:modified xsi:type="dcterms:W3CDTF">2024-02-15T20:06:30Z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0x010100C07317C8A32A3645BA01F9E5F2F7DBA4</vt:lpwstr>
  </property>
</Properties>
</file>