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3\"/>
    </mc:Choice>
  </mc:AlternateContent>
  <xr:revisionPtr revIDLastSave="0" documentId="13_ncr:1_{641FFEE3-E7D2-4421-A88E-8E9F0270E512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Titles" localSheetId="1">'P2 Presupuesto Aprobado-Ejec '!$1:$10</definedName>
    <definedName name="_xlnm.Print_Titles" localSheetId="2">'P3 Ejecucion 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52" i="3" l="1"/>
  <c r="Q54" i="2"/>
  <c r="Q55" i="2"/>
  <c r="Q37" i="2"/>
  <c r="Q35" i="2"/>
  <c r="Q34" i="2"/>
  <c r="Q33" i="2"/>
  <c r="Q31" i="2"/>
  <c r="Q30" i="2"/>
  <c r="Q29" i="2"/>
  <c r="Q27" i="2"/>
  <c r="Q26" i="2"/>
  <c r="Q25" i="2"/>
  <c r="Q23" i="2"/>
  <c r="Q22" i="2"/>
  <c r="Q19" i="2"/>
  <c r="Q17" i="2"/>
  <c r="Q14" i="2"/>
  <c r="Q13" i="2"/>
  <c r="N34" i="3"/>
  <c r="R62" i="2"/>
  <c r="L26" i="3"/>
  <c r="P17" i="2"/>
  <c r="P35" i="2"/>
  <c r="P26" i="2"/>
  <c r="P25" i="2"/>
  <c r="P23" i="2"/>
  <c r="P36" i="2"/>
  <c r="P28" i="2" s="1"/>
  <c r="P19" i="2"/>
  <c r="P13" i="2"/>
  <c r="K16" i="3"/>
  <c r="K26" i="3"/>
  <c r="R60" i="2"/>
  <c r="E54" i="2"/>
  <c r="E18" i="2"/>
  <c r="E28" i="2"/>
  <c r="O19" i="2"/>
  <c r="O18" i="2" s="1"/>
  <c r="O37" i="2"/>
  <c r="O35" i="2"/>
  <c r="O34" i="2"/>
  <c r="O33" i="2"/>
  <c r="O31" i="2"/>
  <c r="O29" i="2"/>
  <c r="O28" i="2" s="1"/>
  <c r="O27" i="2"/>
  <c r="O26" i="2"/>
  <c r="O25" i="2"/>
  <c r="O24" i="2"/>
  <c r="O23" i="2"/>
  <c r="O22" i="2"/>
  <c r="O20" i="2"/>
  <c r="O17" i="2"/>
  <c r="O13" i="2"/>
  <c r="E54" i="1" l="1"/>
  <c r="J16" i="3"/>
  <c r="J26" i="3"/>
  <c r="J52" i="3"/>
  <c r="N59" i="2"/>
  <c r="N55" i="2"/>
  <c r="N54" i="2" s="1"/>
  <c r="N37" i="2"/>
  <c r="N35" i="2"/>
  <c r="N34" i="2"/>
  <c r="N31" i="2"/>
  <c r="N27" i="2"/>
  <c r="N26" i="2"/>
  <c r="N23" i="2"/>
  <c r="N18" i="2" s="1"/>
  <c r="N19" i="2"/>
  <c r="N13" i="2"/>
  <c r="N17" i="2"/>
  <c r="M13" i="2"/>
  <c r="M17" i="2"/>
  <c r="I16" i="3"/>
  <c r="I52" i="3"/>
  <c r="L13" i="2" l="1"/>
  <c r="L12" i="2" s="1"/>
  <c r="K13" i="2"/>
  <c r="M37" i="2"/>
  <c r="M59" i="2"/>
  <c r="M55" i="2"/>
  <c r="M35" i="2"/>
  <c r="M34" i="2"/>
  <c r="M33" i="2"/>
  <c r="M31" i="2"/>
  <c r="M29" i="2"/>
  <c r="M26" i="2"/>
  <c r="M25" i="2"/>
  <c r="M23" i="2"/>
  <c r="M22" i="2"/>
  <c r="M19" i="2"/>
  <c r="D26" i="3"/>
  <c r="L26" i="2" l="1"/>
  <c r="L37" i="2"/>
  <c r="L28" i="2" s="1"/>
  <c r="L19" i="2"/>
  <c r="L18" i="2" s="1"/>
  <c r="F35" i="3"/>
  <c r="J37" i="2"/>
  <c r="G16" i="3" l="1"/>
  <c r="G26" i="3"/>
  <c r="K28" i="2"/>
  <c r="K24" i="2"/>
  <c r="K23" i="2"/>
  <c r="K19" i="2"/>
  <c r="K18" i="2" s="1"/>
  <c r="K17" i="2"/>
  <c r="K12" i="2" s="1"/>
  <c r="N37" i="3"/>
  <c r="F52" i="3"/>
  <c r="F26" i="3"/>
  <c r="F16" i="3"/>
  <c r="R39" i="2" l="1"/>
  <c r="J54" i="2" l="1"/>
  <c r="J31" i="2"/>
  <c r="J29" i="2"/>
  <c r="J28" i="2" s="1"/>
  <c r="J23" i="2"/>
  <c r="J19" i="2"/>
  <c r="J18" i="2" s="1"/>
  <c r="E22" i="3"/>
  <c r="E16" i="3" s="1"/>
  <c r="D16" i="3"/>
  <c r="D10" i="3"/>
  <c r="H28" i="2"/>
  <c r="H23" i="2"/>
  <c r="H19" i="2"/>
  <c r="H13" i="2"/>
  <c r="H17" i="2"/>
  <c r="C16" i="3"/>
  <c r="G19" i="2"/>
  <c r="G18" i="2" s="1"/>
  <c r="G13" i="2"/>
  <c r="G17" i="2"/>
  <c r="F19" i="2"/>
  <c r="F17" i="2"/>
  <c r="F13" i="2"/>
  <c r="D28" i="1"/>
  <c r="D12" i="1"/>
  <c r="M16" i="3"/>
  <c r="M26" i="3"/>
  <c r="Q18" i="2"/>
  <c r="L16" i="3"/>
  <c r="R36" i="2"/>
  <c r="R59" i="2"/>
  <c r="R58" i="2"/>
  <c r="R57" i="2"/>
  <c r="H16" i="3" l="1"/>
  <c r="H52" i="3"/>
  <c r="H26" i="3"/>
  <c r="N62" i="3"/>
  <c r="N45" i="3"/>
  <c r="N36" i="3"/>
  <c r="M62" i="3"/>
  <c r="L62" i="3"/>
  <c r="K62" i="3"/>
  <c r="J62" i="3"/>
  <c r="I62" i="3"/>
  <c r="H62" i="3"/>
  <c r="G62" i="3"/>
  <c r="F62" i="3"/>
  <c r="E62" i="3"/>
  <c r="D62" i="3"/>
  <c r="C62" i="3"/>
  <c r="B62" i="3"/>
  <c r="G52" i="3"/>
  <c r="M45" i="3"/>
  <c r="L45" i="3"/>
  <c r="K45" i="3"/>
  <c r="J45" i="3"/>
  <c r="I45" i="3"/>
  <c r="H45" i="3"/>
  <c r="G45" i="3"/>
  <c r="F45" i="3"/>
  <c r="E45" i="3"/>
  <c r="D45" i="3"/>
  <c r="C45" i="3"/>
  <c r="B45" i="3"/>
  <c r="M36" i="3"/>
  <c r="L36" i="3"/>
  <c r="K36" i="3"/>
  <c r="J36" i="3"/>
  <c r="I36" i="3"/>
  <c r="H36" i="3"/>
  <c r="G36" i="3"/>
  <c r="F36" i="3"/>
  <c r="E36" i="3"/>
  <c r="D36" i="3"/>
  <c r="C36" i="3"/>
  <c r="B36" i="3"/>
  <c r="N12" i="3" l="1"/>
  <c r="N15" i="3"/>
  <c r="N57" i="3"/>
  <c r="N56" i="3"/>
  <c r="E52" i="3"/>
  <c r="E26" i="3"/>
  <c r="C26" i="3"/>
  <c r="K52" i="3"/>
  <c r="D52" i="3"/>
  <c r="D83" i="3" s="1"/>
  <c r="C52" i="3"/>
  <c r="B52" i="3"/>
  <c r="B26" i="3"/>
  <c r="D18" i="2"/>
  <c r="D18" i="1" l="1"/>
  <c r="M10" i="3"/>
  <c r="E38" i="2"/>
  <c r="N54" i="3"/>
  <c r="L52" i="3"/>
  <c r="L10" i="3"/>
  <c r="I10" i="3"/>
  <c r="I26" i="3"/>
  <c r="K10" i="3"/>
  <c r="N35" i="3"/>
  <c r="N33" i="3"/>
  <c r="N32" i="3"/>
  <c r="N31" i="3"/>
  <c r="N30" i="3"/>
  <c r="N29" i="3"/>
  <c r="N28" i="3"/>
  <c r="N27" i="3"/>
  <c r="N53" i="3"/>
  <c r="N25" i="3"/>
  <c r="B16" i="3"/>
  <c r="N24" i="3"/>
  <c r="N23" i="3"/>
  <c r="N22" i="3"/>
  <c r="N21" i="3"/>
  <c r="N20" i="3"/>
  <c r="N19" i="3"/>
  <c r="N18" i="3"/>
  <c r="N17" i="3"/>
  <c r="J10" i="3"/>
  <c r="J83" i="3" s="1"/>
  <c r="H10" i="3"/>
  <c r="H83" i="3" s="1"/>
  <c r="G10" i="3"/>
  <c r="G83" i="3" s="1"/>
  <c r="F10" i="3"/>
  <c r="F83" i="3" s="1"/>
  <c r="E10" i="3"/>
  <c r="E83" i="3" s="1"/>
  <c r="C10" i="3"/>
  <c r="B10" i="3"/>
  <c r="N11" i="3"/>
  <c r="R56" i="2"/>
  <c r="R55" i="2"/>
  <c r="P54" i="2"/>
  <c r="O54" i="2"/>
  <c r="M54" i="2"/>
  <c r="L54" i="2"/>
  <c r="K54" i="2"/>
  <c r="K85" i="2" s="1"/>
  <c r="R31" i="2"/>
  <c r="R37" i="2"/>
  <c r="R35" i="2"/>
  <c r="R34" i="2"/>
  <c r="R33" i="2"/>
  <c r="R32" i="2"/>
  <c r="R30" i="2"/>
  <c r="R29" i="2"/>
  <c r="R27" i="2"/>
  <c r="R25" i="2"/>
  <c r="R22" i="2"/>
  <c r="R21" i="2"/>
  <c r="R20" i="2"/>
  <c r="M18" i="2"/>
  <c r="R26" i="2"/>
  <c r="R24" i="2"/>
  <c r="R23" i="2"/>
  <c r="R19" i="2"/>
  <c r="R17" i="2"/>
  <c r="R14" i="2"/>
  <c r="R13" i="2"/>
  <c r="I54" i="2"/>
  <c r="H54" i="2"/>
  <c r="G54" i="2"/>
  <c r="F54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Q28" i="2"/>
  <c r="N28" i="2"/>
  <c r="M28" i="2"/>
  <c r="I28" i="2"/>
  <c r="G28" i="2"/>
  <c r="F28" i="2"/>
  <c r="P18" i="2"/>
  <c r="I18" i="2"/>
  <c r="H18" i="2"/>
  <c r="F18" i="2"/>
  <c r="Q12" i="2"/>
  <c r="P12" i="2"/>
  <c r="P85" i="2" s="1"/>
  <c r="O12" i="2"/>
  <c r="N12" i="2"/>
  <c r="M12" i="2"/>
  <c r="J12" i="2"/>
  <c r="I12" i="2"/>
  <c r="H12" i="2"/>
  <c r="G12" i="2"/>
  <c r="F12" i="2"/>
  <c r="D54" i="2"/>
  <c r="D38" i="2"/>
  <c r="D28" i="2"/>
  <c r="D12" i="2"/>
  <c r="E12" i="2"/>
  <c r="N26" i="3" l="1"/>
  <c r="R18" i="2"/>
  <c r="N85" i="2"/>
  <c r="H85" i="2"/>
  <c r="R28" i="2"/>
  <c r="K83" i="3"/>
  <c r="R12" i="2"/>
  <c r="C83" i="3"/>
  <c r="B83" i="3"/>
  <c r="M83" i="3"/>
  <c r="L83" i="3"/>
  <c r="D85" i="2"/>
  <c r="R54" i="2"/>
  <c r="E85" i="2"/>
  <c r="I83" i="3"/>
  <c r="N10" i="3"/>
  <c r="N16" i="3"/>
  <c r="N52" i="3"/>
  <c r="I85" i="2"/>
  <c r="Q85" i="2"/>
  <c r="O85" i="2"/>
  <c r="J85" i="2"/>
  <c r="M85" i="2"/>
  <c r="L85" i="2"/>
  <c r="G85" i="2"/>
  <c r="F85" i="2"/>
  <c r="D54" i="1"/>
  <c r="E38" i="1"/>
  <c r="D38" i="1"/>
  <c r="E28" i="1"/>
  <c r="E18" i="1"/>
  <c r="E12" i="1"/>
  <c r="N83" i="3" l="1"/>
  <c r="E85" i="1"/>
  <c r="D85" i="1"/>
  <c r="R85" i="2"/>
</calcChain>
</file>

<file path=xl/sharedStrings.xml><?xml version="1.0" encoding="utf-8"?>
<sst xmlns="http://schemas.openxmlformats.org/spreadsheetml/2006/main" count="291" uniqueCount="115">
  <si>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</si>
  <si>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</si>
  <si>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</si>
  <si>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</si>
  <si>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</si>
  <si>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</si>
  <si>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</si>
  <si>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</si>
  <si>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</si>
  <si>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</si>
  <si>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</si>
  <si>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</si>
  <si>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</si>
  <si>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</si>
  <si>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</si>
  <si>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</si>
  <si>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</si>
  <si>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</si>
  <si>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</si>
  <si>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</si>
  <si>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</si>
  <si>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</si>
  <si>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</si>
  <si>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</si>
  <si>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</si>
  <si>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</si>
  <si>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</si>
  <si>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</si>
  <si>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</si>
  <si>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</si>
  <si>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</si>
  <si>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</si>
  <si>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</si>
  <si>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</si>
  <si>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</si>
  <si>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</si>
  <si>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</si>
  <si>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</si>
  <si>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</si>
  <si>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</si>
  <si>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</si>
  <si>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</si>
  <si>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</si>
  <si>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</si>
  <si>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</si>
  <si>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</si>
  <si>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</si>
  <si>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</si>
  <si>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</si>
  <si>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</si>
  <si>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</si>
  <si>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</si>
  <si>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</si>
  <si>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</si>
  <si>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</si>
  <si>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</si>
  <si>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</si>
  <si>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</si>
  <si>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</si>
  <si>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</si>
  <si>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</si>
  <si>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</si>
  <si>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</si>
  <si>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</si>
  <si>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</si>
  <si>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</si>
  <si>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</si>
  <si>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</si>
  <si>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</si>
  <si>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</si>
  <si>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</si>
  <si>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</si>
  <si>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</si>
  <si>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</si>
  <si>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</si>
  <si>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</si>
  <si>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</si>
  <si>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</si>
  <si>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</si>
  <si>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</si>
  <si>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</si>
  <si>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</si>
  <si>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</si>
  <si>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</si>
  <si>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</si>
  <si>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</si>
  <si>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</si>
  <si>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</si>
  <si>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</si>
  <si>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</si>
  <si>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</si>
  <si>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</si>
  <si>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</si>
  <si>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</si>
  <si>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</si>
  <si>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</si>
  <si>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</si>
  <si>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</si>
  <si>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PRESIDENCIA DE LA REPUBLICA DOMINICANA</t>
  </si>
  <si>
    <t>SISTEMA UNICO DE BENEFICIARIOS (SIUBEN)</t>
  </si>
  <si>
    <t xml:space="preserve">SISTEMA UNICO DE BENERICIARIOS </t>
  </si>
  <si>
    <t>SISTEMA UNICO DE BENEFICIARIOS</t>
  </si>
  <si>
    <t xml:space="preserve">                                                                                                                             Preparado por:</t>
  </si>
  <si>
    <t xml:space="preserve">                                                                                                                             Autorizado por:</t>
  </si>
  <si>
    <t xml:space="preserve">                                                                                                                              _____________________________</t>
  </si>
  <si>
    <t xml:space="preserve">                                                                                                                      Thelbia Fernández</t>
  </si>
  <si>
    <t xml:space="preserve">                                                                                                                      Giselle Feliz García</t>
  </si>
  <si>
    <t xml:space="preserve">                                                                                                                      Analista de Presupuesto – SIUBEN</t>
  </si>
  <si>
    <t xml:space="preserve">                                                                                                                   Altagracia Ramona Peralta</t>
  </si>
  <si>
    <t xml:space="preserve">                                                                                                                     Directora Administrativa y Financiera </t>
  </si>
  <si>
    <t>Altagracia Ramona Peralta</t>
  </si>
  <si>
    <t xml:space="preserve">                                                                                                                      Directora  Administrativa y Financiera</t>
  </si>
  <si>
    <t>______________________________________</t>
  </si>
  <si>
    <t>________________________</t>
  </si>
  <si>
    <t>MINISTERIO DE PLANIFICACION Y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</si>
</sst>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rgb="FF000000"/>
      <name val="Calibri"/>
      <family val="2"/>
    </font>
    <font>
      <b/>
      <i/>
      <sz val="14"/>
      <color rgb="FF000000"/>
      <name val="Calibri"/>
      <family val="2"/>
    </font>
    <font>
      <i/>
      <sz val="14"/>
      <color theme="1"/>
      <name val="Calibri"/>
      <family val="2"/>
      <scheme val="minor"/>
    </font>
    <font>
      <b/>
      <sz val="14"/>
      <color rgb="FF000000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11"/>
      <color rgb="FF000000"/>
      <name val="Calibri"/>
      <family val="2"/>
    </font>
    <font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164" fontId="2" fillId="2" borderId="2" xfId="0" applyNumberFormat="1" applyFont="1" applyFill="1" applyBorder="1"/>
    <xf numFmtId="4" fontId="0" fillId="0" borderId="0" xfId="0" applyNumberFormat="1"/>
    <xf numFmtId="4" fontId="3" fillId="0" borderId="0" xfId="0" applyNumberFormat="1" applyFont="1"/>
    <xf numFmtId="4" fontId="3" fillId="0" borderId="1" xfId="0" applyNumberFormat="1" applyFont="1" applyBorder="1"/>
    <xf numFmtId="4" fontId="2" fillId="2" borderId="2" xfId="0" applyNumberFormat="1" applyFont="1" applyFill="1" applyBorder="1"/>
    <xf numFmtId="0" fontId="0" fillId="0" borderId="0" xfId="0" applyAlignment="1">
      <alignment horizontal="left" wrapText="1" indent="2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vertical="center"/>
    </xf>
    <xf numFmtId="39" fontId="14" fillId="2" borderId="2" xfId="0" applyNumberFormat="1" applyFont="1" applyFill="1" applyBorder="1"/>
    <xf numFmtId="0" fontId="15" fillId="0" borderId="0" xfId="0" applyFont="1"/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/>
    <xf numFmtId="0" fontId="15" fillId="0" borderId="0" xfId="0" applyFont="1" applyAlignment="1">
      <alignment horizontal="left" indent="2"/>
    </xf>
    <xf numFmtId="4" fontId="15" fillId="0" borderId="0" xfId="0" applyNumberFormat="1" applyFont="1"/>
    <xf numFmtId="0" fontId="15" fillId="0" borderId="9" xfId="0" applyFont="1" applyBorder="1"/>
    <xf numFmtId="0" fontId="15" fillId="0" borderId="0" xfId="0" applyFont="1" applyAlignment="1">
      <alignment horizontal="left" wrapText="1" indent="2"/>
    </xf>
    <xf numFmtId="4" fontId="20" fillId="0" borderId="0" xfId="0" applyNumberFormat="1" applyFont="1"/>
    <xf numFmtId="0" fontId="8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3</xdr:col>
      <xdr:colOff>666750</xdr:colOff>
      <xdr:row>0</xdr:row>
      <xdr:rowOff>114300</xdr:rowOff>
    </xdr:from>
    <xdr:to>
      <xdr:col>5</xdr:col>
      <xdr:colOff>330835</xdr:colOff>
      <xdr:row>5</xdr:row>
      <xdr:rowOff>167005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000EB237-2C86-3E8B-AF53-AB03ECF60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48775" y="114300"/>
          <a:ext cx="1950085" cy="12623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628651</xdr:colOff>
      <xdr:row>2</xdr:row>
      <xdr:rowOff>152400</xdr:rowOff>
    </xdr:from>
    <xdr:to>
      <xdr:col>17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15</xdr:col>
      <xdr:colOff>561976</xdr:colOff>
      <xdr:row>0</xdr:row>
      <xdr:rowOff>66675</xdr:rowOff>
    </xdr:from>
    <xdr:to>
      <xdr:col>17</xdr:col>
      <xdr:colOff>768986</xdr:colOff>
      <xdr:row>5</xdr:row>
      <xdr:rowOff>119380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B56910F4-0375-A976-BF1E-298FB2B04A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16476" y="66675"/>
          <a:ext cx="1950085" cy="12623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495300</xdr:colOff>
      <xdr:row>1</xdr:row>
      <xdr:rowOff>171450</xdr:rowOff>
    </xdr:from>
    <xdr:to>
      <xdr:col>13</xdr:col>
      <xdr:colOff>676274</xdr:colOff>
      <xdr:row>6</xdr:row>
      <xdr:rowOff>133350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4430375" y="361950"/>
          <a:ext cx="2095499" cy="1190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11</xdr:col>
      <xdr:colOff>542925</xdr:colOff>
      <xdr:row>1</xdr:row>
      <xdr:rowOff>104775</xdr:rowOff>
    </xdr:from>
    <xdr:to>
      <xdr:col>13</xdr:col>
      <xdr:colOff>578485</xdr:colOff>
      <xdr:row>6</xdr:row>
      <xdr:rowOff>138430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A451AAFC-4916-9595-E0CF-008D97137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0" y="295275"/>
          <a:ext cx="1950085" cy="12623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P93"/>
  <sheetViews>
    <sheetView showGridLines="0" topLeftCell="A71" workbookViewId="0">
      <selection activeCell="E26" sqref="E26"/>
    </sheetView>
  </sheetViews>
  <sheetFormatPr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48" t="s">
        <v>98</v>
      </c>
      <c r="D3" s="48"/>
      <c r="E3" s="48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48" t="s">
        <v>99</v>
      </c>
      <c r="D4" s="48"/>
      <c r="E4" s="48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54">
        <v>2023</v>
      </c>
      <c r="D5" s="55"/>
      <c r="E5" s="55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49" t="s">
        <v>76</v>
      </c>
      <c r="D6" s="50"/>
      <c r="E6" s="50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49" t="s">
        <v>77</v>
      </c>
      <c r="D7" s="50"/>
      <c r="E7" s="50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9" spans="2:16" ht="15" customHeight="1" x14ac:dyDescent="0.25">
      <c r="C9" s="51" t="s">
        <v>66</v>
      </c>
      <c r="D9" s="52" t="s">
        <v>94</v>
      </c>
      <c r="E9" s="52" t="s">
        <v>93</v>
      </c>
      <c r="F9" s="8"/>
    </row>
    <row r="10" spans="2:16" ht="23.25" customHeight="1" x14ac:dyDescent="0.25">
      <c r="C10" s="51"/>
      <c r="D10" s="53"/>
      <c r="E10" s="53"/>
      <c r="F10" s="8"/>
    </row>
    <row r="11" spans="2:16" x14ac:dyDescent="0.25">
      <c r="C11" s="1" t="s">
        <v>0</v>
      </c>
      <c r="D11" s="2"/>
      <c r="E11" s="2"/>
      <c r="F11" s="8"/>
    </row>
    <row r="12" spans="2:16" x14ac:dyDescent="0.25">
      <c r="C12" s="3" t="s">
        <v>1</v>
      </c>
      <c r="D12" s="4">
        <f>D13+D14+D17</f>
        <v>201090287</v>
      </c>
      <c r="E12" s="4">
        <f>E13+E14+E17</f>
        <v>228589248</v>
      </c>
      <c r="F12" s="8"/>
    </row>
    <row r="13" spans="2:16" x14ac:dyDescent="0.25">
      <c r="C13" s="5" t="s">
        <v>2</v>
      </c>
      <c r="D13" s="6">
        <v>162971440</v>
      </c>
      <c r="E13" s="6">
        <v>166853709</v>
      </c>
      <c r="F13" s="8"/>
    </row>
    <row r="14" spans="2:16" x14ac:dyDescent="0.25">
      <c r="C14" s="5" t="s">
        <v>3</v>
      </c>
      <c r="D14" s="6">
        <v>16002000</v>
      </c>
      <c r="E14" s="6">
        <v>39096842</v>
      </c>
      <c r="F14" s="8"/>
    </row>
    <row r="15" spans="2:16" x14ac:dyDescent="0.25">
      <c r="C15" s="5" t="s">
        <v>4</v>
      </c>
      <c r="D15" s="6"/>
      <c r="F15" s="8"/>
    </row>
    <row r="16" spans="2:16" x14ac:dyDescent="0.25">
      <c r="C16" s="5" t="s">
        <v>5</v>
      </c>
      <c r="D16" s="6"/>
      <c r="F16" s="8"/>
    </row>
    <row r="17" spans="3:6" x14ac:dyDescent="0.25">
      <c r="C17" s="5" t="s">
        <v>6</v>
      </c>
      <c r="D17" s="6">
        <v>22116847</v>
      </c>
      <c r="E17" s="6">
        <v>22638697</v>
      </c>
      <c r="F17" s="8"/>
    </row>
    <row r="18" spans="3:6" x14ac:dyDescent="0.25">
      <c r="C18" s="3" t="s">
        <v>7</v>
      </c>
      <c r="D18" s="4">
        <f>D19+D20+D21+D22+D23+D24+D25+D26+D27</f>
        <v>94648456</v>
      </c>
      <c r="E18" s="4">
        <f>E19+E20+E21+E22+E23+E24+E25+E26+E27</f>
        <v>107214537.93000001</v>
      </c>
      <c r="F18" s="8"/>
    </row>
    <row r="19" spans="3:6" x14ac:dyDescent="0.25">
      <c r="C19" s="5" t="s">
        <v>8</v>
      </c>
      <c r="D19" s="6">
        <v>22382750</v>
      </c>
      <c r="E19" s="6">
        <v>28510164.149999999</v>
      </c>
      <c r="F19" s="8"/>
    </row>
    <row r="20" spans="3:6" x14ac:dyDescent="0.25">
      <c r="C20" s="5" t="s">
        <v>9</v>
      </c>
      <c r="D20" s="6">
        <v>700000</v>
      </c>
      <c r="E20" s="6">
        <v>320689.44</v>
      </c>
      <c r="F20" s="8"/>
    </row>
    <row r="21" spans="3:6" x14ac:dyDescent="0.25">
      <c r="C21" s="5" t="s">
        <v>10</v>
      </c>
      <c r="D21" s="6">
        <v>4200000</v>
      </c>
      <c r="E21" s="6">
        <v>6942500</v>
      </c>
      <c r="F21" s="8"/>
    </row>
    <row r="22" spans="3:6" x14ac:dyDescent="0.25">
      <c r="C22" s="5" t="s">
        <v>11</v>
      </c>
      <c r="D22" s="6">
        <v>2720000</v>
      </c>
      <c r="E22" s="6">
        <v>475668.65</v>
      </c>
      <c r="F22" s="8"/>
    </row>
    <row r="23" spans="3:6" x14ac:dyDescent="0.25">
      <c r="C23" s="5" t="s">
        <v>12</v>
      </c>
      <c r="D23" s="6">
        <v>20595526</v>
      </c>
      <c r="E23" s="6">
        <v>20266751</v>
      </c>
    </row>
    <row r="24" spans="3:6" x14ac:dyDescent="0.25">
      <c r="C24" s="5" t="s">
        <v>13</v>
      </c>
      <c r="D24" s="6">
        <v>13398400</v>
      </c>
      <c r="E24" s="6">
        <v>13337160</v>
      </c>
    </row>
    <row r="25" spans="3:6" x14ac:dyDescent="0.25">
      <c r="C25" s="5" t="s">
        <v>14</v>
      </c>
      <c r="D25" s="6">
        <v>2156200</v>
      </c>
      <c r="E25" s="6">
        <v>6391486.8099999996</v>
      </c>
    </row>
    <row r="26" spans="3:6" x14ac:dyDescent="0.25">
      <c r="C26" s="5" t="s">
        <v>15</v>
      </c>
      <c r="D26" s="6">
        <v>25715580</v>
      </c>
      <c r="E26" s="6">
        <v>27537624.800000001</v>
      </c>
    </row>
    <row r="27" spans="3:6" x14ac:dyDescent="0.25">
      <c r="C27" s="5" t="s">
        <v>16</v>
      </c>
      <c r="D27" s="6">
        <v>2780000</v>
      </c>
      <c r="E27" s="6">
        <v>3432493.08</v>
      </c>
    </row>
    <row r="28" spans="3:6" x14ac:dyDescent="0.25">
      <c r="C28" s="3" t="s">
        <v>17</v>
      </c>
      <c r="D28" s="4">
        <f>D29+D30+D31+D32+D33+D34+D35+D37</f>
        <v>17410024</v>
      </c>
      <c r="E28" s="4">
        <f>E29+E30+E31+E32+E33+E34+E35+E37</f>
        <v>16340276.07</v>
      </c>
    </row>
    <row r="29" spans="3:6" x14ac:dyDescent="0.25">
      <c r="C29" s="5" t="s">
        <v>18</v>
      </c>
      <c r="D29" s="6">
        <v>5385000</v>
      </c>
      <c r="E29" s="6">
        <v>1082125.57</v>
      </c>
    </row>
    <row r="30" spans="3:6" x14ac:dyDescent="0.25">
      <c r="C30" s="5" t="s">
        <v>19</v>
      </c>
      <c r="D30" s="6">
        <v>308000</v>
      </c>
      <c r="E30" s="6">
        <v>378292.97</v>
      </c>
    </row>
    <row r="31" spans="3:6" x14ac:dyDescent="0.25">
      <c r="C31" s="5" t="s">
        <v>20</v>
      </c>
      <c r="D31" s="6">
        <v>675000</v>
      </c>
      <c r="E31" s="6">
        <v>654038.26</v>
      </c>
    </row>
    <row r="32" spans="3:6" x14ac:dyDescent="0.25">
      <c r="C32" s="5" t="s">
        <v>21</v>
      </c>
      <c r="D32" s="6">
        <v>50000</v>
      </c>
      <c r="E32" s="6">
        <v>50000</v>
      </c>
    </row>
    <row r="33" spans="3:5" x14ac:dyDescent="0.25">
      <c r="C33" s="5" t="s">
        <v>22</v>
      </c>
      <c r="D33" s="6">
        <v>385000</v>
      </c>
      <c r="E33" s="6">
        <v>306270.77</v>
      </c>
    </row>
    <row r="34" spans="3:5" x14ac:dyDescent="0.25">
      <c r="C34" s="5" t="s">
        <v>23</v>
      </c>
      <c r="D34" s="6">
        <v>120000</v>
      </c>
      <c r="E34" s="6">
        <v>135705.01</v>
      </c>
    </row>
    <row r="35" spans="3:5" x14ac:dyDescent="0.25">
      <c r="C35" s="5" t="s">
        <v>24</v>
      </c>
      <c r="D35" s="6">
        <v>7350000</v>
      </c>
      <c r="E35" s="6">
        <v>11918036.1</v>
      </c>
    </row>
    <row r="36" spans="3:5" x14ac:dyDescent="0.25">
      <c r="C36" s="5" t="s">
        <v>25</v>
      </c>
      <c r="D36" s="6"/>
      <c r="E36" s="6"/>
    </row>
    <row r="37" spans="3:5" x14ac:dyDescent="0.25">
      <c r="C37" s="5" t="s">
        <v>26</v>
      </c>
      <c r="D37" s="6">
        <v>3137024</v>
      </c>
      <c r="E37" s="6">
        <v>1815807.39</v>
      </c>
    </row>
    <row r="38" spans="3:5" x14ac:dyDescent="0.25">
      <c r="C38" s="3" t="s">
        <v>27</v>
      </c>
      <c r="D38" s="4">
        <f>D39</f>
        <v>0</v>
      </c>
      <c r="E38" s="4">
        <f>E39</f>
        <v>24000</v>
      </c>
    </row>
    <row r="39" spans="3:5" x14ac:dyDescent="0.25">
      <c r="C39" s="5" t="s">
        <v>28</v>
      </c>
      <c r="D39" s="6">
        <v>0</v>
      </c>
      <c r="E39" s="6">
        <v>24000</v>
      </c>
    </row>
    <row r="40" spans="3:5" x14ac:dyDescent="0.25">
      <c r="C40" s="5" t="s">
        <v>29</v>
      </c>
      <c r="D40" s="6"/>
    </row>
    <row r="41" spans="3:5" x14ac:dyDescent="0.25">
      <c r="C41" s="5" t="s">
        <v>30</v>
      </c>
      <c r="D41" s="6"/>
    </row>
    <row r="42" spans="3:5" x14ac:dyDescent="0.25">
      <c r="C42" s="5" t="s">
        <v>31</v>
      </c>
      <c r="D42" s="6"/>
    </row>
    <row r="43" spans="3:5" x14ac:dyDescent="0.25">
      <c r="C43" s="5" t="s">
        <v>32</v>
      </c>
      <c r="D43" s="6"/>
    </row>
    <row r="44" spans="3:5" x14ac:dyDescent="0.25">
      <c r="C44" s="5" t="s">
        <v>33</v>
      </c>
      <c r="D44" s="6"/>
    </row>
    <row r="45" spans="3:5" x14ac:dyDescent="0.25">
      <c r="C45" s="5" t="s">
        <v>34</v>
      </c>
      <c r="D45" s="6"/>
    </row>
    <row r="46" spans="3:5" x14ac:dyDescent="0.25">
      <c r="C46" s="5" t="s">
        <v>35</v>
      </c>
      <c r="D46" s="6"/>
    </row>
    <row r="47" spans="3:5" x14ac:dyDescent="0.25">
      <c r="C47" s="3" t="s">
        <v>36</v>
      </c>
      <c r="D47" s="4"/>
    </row>
    <row r="48" spans="3:5" x14ac:dyDescent="0.25">
      <c r="C48" s="5" t="s">
        <v>37</v>
      </c>
      <c r="D48" s="6"/>
    </row>
    <row r="49" spans="3:5" x14ac:dyDescent="0.25">
      <c r="C49" s="5" t="s">
        <v>38</v>
      </c>
      <c r="D49" s="6"/>
    </row>
    <row r="50" spans="3:5" x14ac:dyDescent="0.25">
      <c r="C50" s="5" t="s">
        <v>39</v>
      </c>
      <c r="D50" s="6"/>
    </row>
    <row r="51" spans="3:5" x14ac:dyDescent="0.25">
      <c r="C51" s="5" t="s">
        <v>40</v>
      </c>
      <c r="D51" s="6"/>
    </row>
    <row r="52" spans="3:5" x14ac:dyDescent="0.25">
      <c r="C52" s="5" t="s">
        <v>41</v>
      </c>
      <c r="D52" s="6"/>
    </row>
    <row r="53" spans="3:5" x14ac:dyDescent="0.25">
      <c r="C53" s="5" t="s">
        <v>42</v>
      </c>
      <c r="D53" s="6"/>
    </row>
    <row r="54" spans="3:5" x14ac:dyDescent="0.25">
      <c r="C54" s="3" t="s">
        <v>43</v>
      </c>
      <c r="D54" s="4">
        <f>D55+D58+D59</f>
        <v>2065000</v>
      </c>
      <c r="E54" s="4">
        <f>E55+E58+E59+E56+E62+E60</f>
        <v>3345000</v>
      </c>
    </row>
    <row r="55" spans="3:5" x14ac:dyDescent="0.25">
      <c r="C55" s="5" t="s">
        <v>44</v>
      </c>
      <c r="D55" s="6">
        <v>1965000</v>
      </c>
      <c r="E55" s="6">
        <v>1632102</v>
      </c>
    </row>
    <row r="56" spans="3:5" x14ac:dyDescent="0.25">
      <c r="C56" s="5" t="s">
        <v>45</v>
      </c>
      <c r="D56" s="6"/>
      <c r="E56" s="6"/>
    </row>
    <row r="57" spans="3:5" x14ac:dyDescent="0.25">
      <c r="C57" s="5" t="s">
        <v>46</v>
      </c>
      <c r="D57" s="6"/>
    </row>
    <row r="58" spans="3:5" x14ac:dyDescent="0.25">
      <c r="C58" s="5" t="s">
        <v>47</v>
      </c>
      <c r="D58" s="6"/>
      <c r="E58" s="6"/>
    </row>
    <row r="59" spans="3:5" x14ac:dyDescent="0.25">
      <c r="C59" s="5" t="s">
        <v>48</v>
      </c>
      <c r="D59" s="6">
        <v>100000</v>
      </c>
      <c r="E59" s="6">
        <v>1482898</v>
      </c>
    </row>
    <row r="60" spans="3:5" x14ac:dyDescent="0.25">
      <c r="C60" s="5" t="s">
        <v>49</v>
      </c>
      <c r="D60" s="6"/>
      <c r="E60" s="6">
        <v>54000</v>
      </c>
    </row>
    <row r="61" spans="3:5" x14ac:dyDescent="0.25">
      <c r="C61" s="5" t="s">
        <v>50</v>
      </c>
      <c r="D61" s="6"/>
    </row>
    <row r="62" spans="3:5" x14ac:dyDescent="0.25">
      <c r="C62" s="5" t="s">
        <v>51</v>
      </c>
      <c r="D62" s="6"/>
      <c r="E62" s="6">
        <v>176000</v>
      </c>
    </row>
    <row r="63" spans="3:5" x14ac:dyDescent="0.25">
      <c r="C63" s="5" t="s">
        <v>52</v>
      </c>
      <c r="D63" s="6"/>
    </row>
    <row r="64" spans="3:5" x14ac:dyDescent="0.25">
      <c r="C64" s="3" t="s">
        <v>53</v>
      </c>
      <c r="D64" s="4"/>
    </row>
    <row r="65" spans="3:5" x14ac:dyDescent="0.25">
      <c r="C65" s="5" t="s">
        <v>54</v>
      </c>
      <c r="D65" s="6"/>
    </row>
    <row r="66" spans="3:5" x14ac:dyDescent="0.25">
      <c r="C66" s="5" t="s">
        <v>55</v>
      </c>
      <c r="D66" s="6"/>
    </row>
    <row r="67" spans="3:5" x14ac:dyDescent="0.25">
      <c r="C67" s="5" t="s">
        <v>56</v>
      </c>
      <c r="D67" s="6"/>
    </row>
    <row r="68" spans="3:5" x14ac:dyDescent="0.25">
      <c r="C68" s="5" t="s">
        <v>57</v>
      </c>
      <c r="D68" s="6"/>
    </row>
    <row r="69" spans="3:5" x14ac:dyDescent="0.25">
      <c r="C69" s="3" t="s">
        <v>58</v>
      </c>
      <c r="D69" s="4"/>
    </row>
    <row r="70" spans="3:5" x14ac:dyDescent="0.25">
      <c r="C70" s="5" t="s">
        <v>59</v>
      </c>
      <c r="D70" s="6"/>
    </row>
    <row r="71" spans="3:5" x14ac:dyDescent="0.25">
      <c r="C71" s="5" t="s">
        <v>60</v>
      </c>
      <c r="D71" s="6"/>
    </row>
    <row r="72" spans="3:5" x14ac:dyDescent="0.25">
      <c r="C72" s="3" t="s">
        <v>61</v>
      </c>
      <c r="D72" s="4"/>
    </row>
    <row r="73" spans="3:5" x14ac:dyDescent="0.25">
      <c r="C73" s="5" t="s">
        <v>62</v>
      </c>
      <c r="D73" s="6"/>
    </row>
    <row r="74" spans="3:5" x14ac:dyDescent="0.25">
      <c r="C74" s="5" t="s">
        <v>63</v>
      </c>
      <c r="D74" s="6"/>
    </row>
    <row r="75" spans="3:5" x14ac:dyDescent="0.25">
      <c r="C75" s="5" t="s">
        <v>64</v>
      </c>
      <c r="D75" s="6"/>
    </row>
    <row r="76" spans="3:5" x14ac:dyDescent="0.25">
      <c r="C76" s="1" t="s">
        <v>67</v>
      </c>
      <c r="D76" s="2"/>
      <c r="E76" s="2"/>
    </row>
    <row r="77" spans="3:5" x14ac:dyDescent="0.25">
      <c r="C77" s="3" t="s">
        <v>68</v>
      </c>
      <c r="D77" s="4"/>
    </row>
    <row r="78" spans="3:5" x14ac:dyDescent="0.25">
      <c r="C78" s="5" t="s">
        <v>69</v>
      </c>
      <c r="D78" s="6"/>
    </row>
    <row r="79" spans="3:5" x14ac:dyDescent="0.25">
      <c r="C79" s="5" t="s">
        <v>70</v>
      </c>
      <c r="D79" s="6"/>
    </row>
    <row r="80" spans="3:5" x14ac:dyDescent="0.25">
      <c r="C80" s="3" t="s">
        <v>71</v>
      </c>
      <c r="D80" s="4"/>
    </row>
    <row r="81" spans="3:5" x14ac:dyDescent="0.25">
      <c r="C81" s="5" t="s">
        <v>72</v>
      </c>
      <c r="D81" s="6"/>
    </row>
    <row r="82" spans="3:5" x14ac:dyDescent="0.25">
      <c r="C82" s="5" t="s">
        <v>73</v>
      </c>
      <c r="D82" s="6"/>
    </row>
    <row r="83" spans="3:5" x14ac:dyDescent="0.25">
      <c r="C83" s="3" t="s">
        <v>74</v>
      </c>
      <c r="D83" s="4"/>
    </row>
    <row r="84" spans="3:5" x14ac:dyDescent="0.25">
      <c r="C84" s="5" t="s">
        <v>75</v>
      </c>
      <c r="D84" s="6"/>
    </row>
    <row r="85" spans="3:5" x14ac:dyDescent="0.25">
      <c r="C85" s="9" t="s">
        <v>65</v>
      </c>
      <c r="D85" s="23">
        <f>D54+D38+D28+D18+D12</f>
        <v>315213767</v>
      </c>
      <c r="E85" s="23">
        <f>E54+E38+E28+E18+E12</f>
        <v>355513062</v>
      </c>
    </row>
    <row r="90" spans="3:5" ht="15.75" thickBot="1" x14ac:dyDescent="0.3"/>
    <row r="91" spans="3:5" ht="26.25" customHeight="1" thickBot="1" x14ac:dyDescent="0.3">
      <c r="C91" s="22" t="s">
        <v>95</v>
      </c>
    </row>
    <row r="92" spans="3:5" ht="33.75" customHeight="1" thickBot="1" x14ac:dyDescent="0.3">
      <c r="C92" s="20" t="s">
        <v>96</v>
      </c>
    </row>
    <row r="93" spans="3:5" ht="60.75" thickBot="1" x14ac:dyDescent="0.3">
      <c r="C93" s="21" t="s">
        <v>97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31496062992125984" right="0.31496062992125984" top="0.35433070866141736" bottom="0.35433070866141736" header="0.31496062992125984" footer="0.31496062992125984"/>
  <pageSetup scale="5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S98"/>
  <sheetViews>
    <sheetView showGridLines="0" topLeftCell="F25" workbookViewId="0">
      <selection activeCell="M66" sqref="M66"/>
    </sheetView>
  </sheetViews>
  <sheetFormatPr defaultColWidth="11.42578125" defaultRowHeight="15" x14ac:dyDescent="0.25"/>
  <cols>
    <col min="1" max="1" width="4" customWidth="1"/>
    <col min="2" max="2" width="3.140625" customWidth="1"/>
    <col min="3" max="3" width="76.42578125" customWidth="1"/>
    <col min="4" max="4" width="19.5703125" customWidth="1"/>
    <col min="5" max="5" width="16.7109375" customWidth="1"/>
    <col min="6" max="6" width="13.140625" customWidth="1"/>
    <col min="7" max="7" width="15.140625" customWidth="1"/>
    <col min="8" max="9" width="13.28515625" customWidth="1"/>
    <col min="10" max="10" width="13.7109375" customWidth="1"/>
    <col min="11" max="11" width="13" customWidth="1"/>
    <col min="12" max="12" width="12.85546875" customWidth="1"/>
    <col min="13" max="13" width="14.5703125" customWidth="1"/>
    <col min="14" max="14" width="12.85546875" customWidth="1"/>
    <col min="15" max="15" width="14" customWidth="1"/>
    <col min="16" max="16" width="12.7109375" customWidth="1"/>
    <col min="17" max="17" width="13.42578125" customWidth="1"/>
    <col min="18" max="18" width="15.5703125" customWidth="1"/>
  </cols>
  <sheetData>
    <row r="3" spans="3:19" ht="28.5" customHeight="1" x14ac:dyDescent="0.25">
      <c r="C3" s="60" t="s">
        <v>98</v>
      </c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</row>
    <row r="4" spans="3:19" ht="21" customHeight="1" x14ac:dyDescent="0.25">
      <c r="C4" s="62" t="s">
        <v>100</v>
      </c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</row>
    <row r="5" spans="3:19" ht="15.75" x14ac:dyDescent="0.25">
      <c r="C5" s="54">
        <v>2023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</row>
    <row r="6" spans="3:19" ht="15.75" customHeight="1" x14ac:dyDescent="0.25">
      <c r="C6" s="49" t="s">
        <v>92</v>
      </c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</row>
    <row r="7" spans="3:19" ht="15.75" customHeight="1" x14ac:dyDescent="0.25">
      <c r="C7" s="50" t="s">
        <v>77</v>
      </c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</row>
    <row r="9" spans="3:19" ht="25.5" customHeight="1" x14ac:dyDescent="0.25">
      <c r="C9" s="51" t="s">
        <v>66</v>
      </c>
      <c r="D9" s="52" t="s">
        <v>94</v>
      </c>
      <c r="E9" s="52" t="s">
        <v>93</v>
      </c>
      <c r="F9" s="57" t="s">
        <v>91</v>
      </c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9"/>
    </row>
    <row r="10" spans="3:19" x14ac:dyDescent="0.25">
      <c r="C10" s="51"/>
      <c r="D10" s="53"/>
      <c r="E10" s="53"/>
      <c r="F10" s="15" t="s">
        <v>79</v>
      </c>
      <c r="G10" s="15" t="s">
        <v>80</v>
      </c>
      <c r="H10" s="15" t="s">
        <v>81</v>
      </c>
      <c r="I10" s="15" t="s">
        <v>82</v>
      </c>
      <c r="J10" s="16" t="s">
        <v>83</v>
      </c>
      <c r="K10" s="15" t="s">
        <v>84</v>
      </c>
      <c r="L10" s="16" t="s">
        <v>85</v>
      </c>
      <c r="M10" s="15" t="s">
        <v>86</v>
      </c>
      <c r="N10" s="15" t="s">
        <v>87</v>
      </c>
      <c r="O10" s="15" t="s">
        <v>88</v>
      </c>
      <c r="P10" s="15" t="s">
        <v>89</v>
      </c>
      <c r="Q10" s="16" t="s">
        <v>90</v>
      </c>
      <c r="R10" s="15" t="s">
        <v>78</v>
      </c>
    </row>
    <row r="11" spans="3:19" x14ac:dyDescent="0.25">
      <c r="C11" s="1" t="s">
        <v>0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25">
        <f>D13+D14+D17</f>
        <v>201090287</v>
      </c>
      <c r="E12" s="25">
        <f>E13+E14+E17</f>
        <v>228589248</v>
      </c>
      <c r="F12" s="25">
        <f t="shared" ref="F12:Q12" si="0">F13+F14+F17</f>
        <v>14650701.149999999</v>
      </c>
      <c r="G12" s="25">
        <f t="shared" si="0"/>
        <v>14449534.359999999</v>
      </c>
      <c r="H12" s="25">
        <f t="shared" si="0"/>
        <v>14278573.42</v>
      </c>
      <c r="I12" s="25">
        <f t="shared" si="0"/>
        <v>25352064.809999999</v>
      </c>
      <c r="J12" s="25">
        <f t="shared" si="0"/>
        <v>14652646.32</v>
      </c>
      <c r="K12" s="25">
        <f>K13+K14+K17</f>
        <v>14760392.779999999</v>
      </c>
      <c r="L12" s="25">
        <f>L13+L14+L17</f>
        <v>15348424.140000001</v>
      </c>
      <c r="M12" s="25">
        <f t="shared" si="0"/>
        <v>15120824.280000001</v>
      </c>
      <c r="N12" s="25">
        <f t="shared" si="0"/>
        <v>15626903.76</v>
      </c>
      <c r="O12" s="25">
        <f t="shared" si="0"/>
        <v>15141319.140000001</v>
      </c>
      <c r="P12" s="25">
        <f t="shared" si="0"/>
        <v>40731848.290000007</v>
      </c>
      <c r="Q12" s="25">
        <f t="shared" si="0"/>
        <v>27858708.460000001</v>
      </c>
      <c r="R12" s="25">
        <f>SUM(F12:Q12)</f>
        <v>227971940.91000006</v>
      </c>
    </row>
    <row r="13" spans="3:19" x14ac:dyDescent="0.25">
      <c r="C13" s="5" t="s">
        <v>2</v>
      </c>
      <c r="D13" s="24">
        <v>162971440</v>
      </c>
      <c r="E13" s="24">
        <v>166853709</v>
      </c>
      <c r="F13" s="24">
        <f>11437160.16+85000+547515+524511.54</f>
        <v>12594186.699999999</v>
      </c>
      <c r="G13" s="24">
        <f>11612230.09+188000+457600+104082.83</f>
        <v>12361912.92</v>
      </c>
      <c r="H13" s="24">
        <f>11595163.42+151500+68500+379845.41</f>
        <v>12195008.83</v>
      </c>
      <c r="I13" s="24">
        <v>23219626.129999999</v>
      </c>
      <c r="J13" s="24">
        <v>12450963.42</v>
      </c>
      <c r="K13" s="24">
        <f>12093363.42+151500+255000+89755.43</f>
        <v>12589618.85</v>
      </c>
      <c r="L13" s="24">
        <f>7008190.73+100000+66912.78+5262972.69+624739.91</f>
        <v>13062816.110000001</v>
      </c>
      <c r="M13" s="24">
        <f>11968063.42+761133.3+46000+107521.92</f>
        <v>12882718.640000001</v>
      </c>
      <c r="N13" s="24">
        <f>12034563.42+270000+161513.61+886400</f>
        <v>13352477.029999999</v>
      </c>
      <c r="O13" s="24">
        <f>11977063.42+897000</f>
        <v>12874063.42</v>
      </c>
      <c r="P13" s="24">
        <f>4011688.74+1171366.66+11851496.73+940851+263801.69+1112919.87+7839455.06+294791.64+10970192.57</f>
        <v>38456563.960000008</v>
      </c>
      <c r="Q13" s="24">
        <f>11789794.64+1121500+474284.88+3691.74</f>
        <v>13389271.260000002</v>
      </c>
      <c r="R13" s="24">
        <f>SUM(F13:Q13)</f>
        <v>189429227.26999998</v>
      </c>
    </row>
    <row r="14" spans="3:19" x14ac:dyDescent="0.25">
      <c r="C14" s="5" t="s">
        <v>3</v>
      </c>
      <c r="D14" s="24">
        <v>16002000</v>
      </c>
      <c r="E14" s="24">
        <v>39096842</v>
      </c>
      <c r="F14" s="24">
        <v>333500</v>
      </c>
      <c r="G14" s="24">
        <v>326500</v>
      </c>
      <c r="H14" s="24">
        <v>333500</v>
      </c>
      <c r="I14" s="24">
        <v>333500</v>
      </c>
      <c r="J14" s="24">
        <v>333500</v>
      </c>
      <c r="K14" s="24">
        <v>333500</v>
      </c>
      <c r="L14" s="24">
        <v>333500</v>
      </c>
      <c r="M14" s="24">
        <v>326500</v>
      </c>
      <c r="N14" s="24">
        <v>333500</v>
      </c>
      <c r="O14" s="24">
        <v>333500</v>
      </c>
      <c r="P14" s="24">
        <v>323500</v>
      </c>
      <c r="Q14" s="24">
        <f>323500+12210937.78</f>
        <v>12534437.779999999</v>
      </c>
      <c r="R14" s="24">
        <f>SUM(F14:Q14)</f>
        <v>16178937.779999999</v>
      </c>
    </row>
    <row r="15" spans="3:19" x14ac:dyDescent="0.25">
      <c r="C15" s="5" t="s">
        <v>4</v>
      </c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17"/>
    </row>
    <row r="16" spans="3:19" x14ac:dyDescent="0.25">
      <c r="C16" s="5" t="s">
        <v>5</v>
      </c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</row>
    <row r="17" spans="3:18" x14ac:dyDescent="0.25">
      <c r="C17" s="5" t="s">
        <v>6</v>
      </c>
      <c r="D17" s="24">
        <v>22116847</v>
      </c>
      <c r="E17" s="24">
        <v>22638697</v>
      </c>
      <c r="F17" s="24">
        <f>423326.8+426914.65+52985.16+380548.92+391158.71+48080.21</f>
        <v>1723014.45</v>
      </c>
      <c r="G17" s="24">
        <f>820940.99+837816.32+102364.13</f>
        <v>1761121.44</v>
      </c>
      <c r="H17" s="24">
        <f>814661.6+834013.09+101389.9</f>
        <v>1750064.5899999999</v>
      </c>
      <c r="I17" s="24">
        <v>1798938.68</v>
      </c>
      <c r="J17" s="24">
        <v>1868182.9</v>
      </c>
      <c r="K17" s="24">
        <f>860014.59+869385.29+107874.05</f>
        <v>1837273.93</v>
      </c>
      <c r="L17" s="24">
        <v>1952108.03</v>
      </c>
      <c r="M17" s="24">
        <f>894353.79+903772.99+113478.86</f>
        <v>1911605.6400000001</v>
      </c>
      <c r="N17" s="24">
        <f>907950.08+917388.39+115588.26</f>
        <v>1940926.73</v>
      </c>
      <c r="O17" s="24">
        <f>904624.87+914058.49+115072.36</f>
        <v>1933755.72</v>
      </c>
      <c r="P17" s="24">
        <f>896469.02+924598.24+103932.36+16661.5+10123.21</f>
        <v>1951784.33</v>
      </c>
      <c r="Q17" s="24">
        <f>905245.32+916701.91+113052.19</f>
        <v>1934999.42</v>
      </c>
      <c r="R17" s="24">
        <f t="shared" ref="R17:R27" si="1">SUM(F17:Q17)</f>
        <v>22363775.859999999</v>
      </c>
    </row>
    <row r="18" spans="3:18" x14ac:dyDescent="0.25">
      <c r="C18" s="3" t="s">
        <v>7</v>
      </c>
      <c r="D18" s="25">
        <f>D19+D20+D21+D22+D23+D24+D25+D26+D27</f>
        <v>94648456</v>
      </c>
      <c r="E18" s="25">
        <f>E19+E20+E21+E22+E23+E24+E25+E26+E27</f>
        <v>107214537.93000001</v>
      </c>
      <c r="F18" s="25">
        <f t="shared" ref="F18:P18" si="2">F19+F20+F21+F22+F23+F24+F25+F26</f>
        <v>3346878.98</v>
      </c>
      <c r="G18" s="25">
        <f>G19+G20+G21+G22+G23+G24+G25+G26+G27</f>
        <v>3399937.1299999994</v>
      </c>
      <c r="H18" s="25">
        <f t="shared" si="2"/>
        <v>3778704.9499999997</v>
      </c>
      <c r="I18" s="25">
        <f t="shared" si="2"/>
        <v>6447053.0999999996</v>
      </c>
      <c r="J18" s="25">
        <f t="shared" ref="J18:O18" si="3">J19+J20+J21+J22+J23+J24+J25+J26+J27</f>
        <v>6265516.1600000001</v>
      </c>
      <c r="K18" s="25">
        <f t="shared" si="3"/>
        <v>5281734.8600000003</v>
      </c>
      <c r="L18" s="25">
        <f t="shared" si="3"/>
        <v>4913524.29</v>
      </c>
      <c r="M18" s="25">
        <f t="shared" si="3"/>
        <v>10424438.930000002</v>
      </c>
      <c r="N18" s="25">
        <f t="shared" si="3"/>
        <v>7006644.0999999996</v>
      </c>
      <c r="O18" s="25">
        <f t="shared" si="3"/>
        <v>11739598.68</v>
      </c>
      <c r="P18" s="25">
        <f t="shared" si="2"/>
        <v>5813287.0899999999</v>
      </c>
      <c r="Q18" s="25">
        <f>Q19+Q20+Q21+Q22+Q23+Q24+Q25+Q26+Q27</f>
        <v>11140004.309999999</v>
      </c>
      <c r="R18" s="25">
        <f>SUM(F18:Q18)</f>
        <v>79557322.579999998</v>
      </c>
    </row>
    <row r="19" spans="3:18" x14ac:dyDescent="0.25">
      <c r="C19" s="5" t="s">
        <v>8</v>
      </c>
      <c r="D19" s="24">
        <v>22382750</v>
      </c>
      <c r="E19" s="24">
        <v>28510164.149999999</v>
      </c>
      <c r="F19" s="24">
        <f>595154.24+277731.45+850178.77+597571.88</f>
        <v>2320636.34</v>
      </c>
      <c r="G19" s="24">
        <f>454347.01+242816.71+759296.66+680353.58</f>
        <v>2136813.96</v>
      </c>
      <c r="H19" s="24">
        <f>516422.87+245320.83+980623.85+559347.81</f>
        <v>2301715.36</v>
      </c>
      <c r="I19" s="24">
        <v>2103200.3199999998</v>
      </c>
      <c r="J19" s="24">
        <f>478675.46+235306.88+882139.77+575279.5</f>
        <v>2171401.6100000003</v>
      </c>
      <c r="K19" s="24">
        <f>452743.95+233843.57+892567.9+620321.14</f>
        <v>2199476.56</v>
      </c>
      <c r="L19" s="24">
        <f>418929.89+248477.89+906607.46+663272.47</f>
        <v>2237287.71</v>
      </c>
      <c r="M19" s="24">
        <f>644642.34+334958.07+918716.57+688897.64+44900+15100</f>
        <v>2647214.62</v>
      </c>
      <c r="N19" s="24">
        <f>751088.12+234871.49+1063659.49+655343.33</f>
        <v>2704962.43</v>
      </c>
      <c r="O19" s="24">
        <f>741350.34+269778.3+1008634.33+646025.48+11888+6575</f>
        <v>2684251.4499999997</v>
      </c>
      <c r="P19" s="24">
        <f>537124.96+220296.81+986809.06+700987.19</f>
        <v>2445218.02</v>
      </c>
      <c r="Q19" s="24">
        <f>519192.13+215897.65+987103.17+678070.5+35941+15549.15</f>
        <v>2451753.6</v>
      </c>
      <c r="R19" s="24">
        <f t="shared" si="1"/>
        <v>28403931.98</v>
      </c>
    </row>
    <row r="20" spans="3:18" x14ac:dyDescent="0.25">
      <c r="C20" s="5" t="s">
        <v>9</v>
      </c>
      <c r="D20" s="24">
        <v>700000</v>
      </c>
      <c r="E20" s="24">
        <v>320689.44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36541.71</v>
      </c>
      <c r="N20" s="24">
        <v>0</v>
      </c>
      <c r="O20" s="24">
        <f>23101.39+3510</f>
        <v>26611.39</v>
      </c>
      <c r="P20" s="24">
        <v>0</v>
      </c>
      <c r="Q20" s="24">
        <v>149689.44</v>
      </c>
      <c r="R20" s="24">
        <f t="shared" si="1"/>
        <v>212842.54</v>
      </c>
    </row>
    <row r="21" spans="3:18" x14ac:dyDescent="0.25">
      <c r="C21" s="5" t="s">
        <v>10</v>
      </c>
      <c r="D21" s="24">
        <v>4200000</v>
      </c>
      <c r="E21" s="24">
        <v>6942500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1758495</v>
      </c>
      <c r="N21" s="24">
        <v>0</v>
      </c>
      <c r="O21" s="24">
        <v>1549750</v>
      </c>
      <c r="P21" s="24">
        <v>0</v>
      </c>
      <c r="Q21" s="24">
        <v>3534250</v>
      </c>
      <c r="R21" s="24">
        <f t="shared" si="1"/>
        <v>6842495</v>
      </c>
    </row>
    <row r="22" spans="3:18" x14ac:dyDescent="0.25">
      <c r="C22" s="5" t="s">
        <v>11</v>
      </c>
      <c r="D22" s="24">
        <v>2720000</v>
      </c>
      <c r="E22" s="24">
        <v>475668.65</v>
      </c>
      <c r="F22" s="24">
        <v>0</v>
      </c>
      <c r="G22" s="24">
        <v>0</v>
      </c>
      <c r="H22" s="24">
        <v>0</v>
      </c>
      <c r="I22" s="24">
        <v>0</v>
      </c>
      <c r="J22" s="24">
        <v>50000</v>
      </c>
      <c r="K22" s="24">
        <v>0</v>
      </c>
      <c r="L22" s="24">
        <v>0</v>
      </c>
      <c r="M22" s="24">
        <f>211574.63+20250+6500</f>
        <v>238324.63</v>
      </c>
      <c r="N22" s="24">
        <v>0</v>
      </c>
      <c r="O22" s="24">
        <f>19513.76+7175+1600</f>
        <v>28288.76</v>
      </c>
      <c r="P22" s="24">
        <v>0</v>
      </c>
      <c r="Q22" s="24">
        <f>121333.65+14780+100+6280</f>
        <v>142493.65</v>
      </c>
      <c r="R22" s="24">
        <f t="shared" si="1"/>
        <v>459107.04000000004</v>
      </c>
    </row>
    <row r="23" spans="3:18" x14ac:dyDescent="0.25">
      <c r="C23" s="5" t="s">
        <v>12</v>
      </c>
      <c r="D23" s="24">
        <v>20595526</v>
      </c>
      <c r="E23" s="24">
        <v>20266751</v>
      </c>
      <c r="F23" s="24">
        <v>0</v>
      </c>
      <c r="G23" s="24">
        <v>323839.96999999997</v>
      </c>
      <c r="H23" s="24">
        <f>96190.65+55664.4</f>
        <v>151855.04999999999</v>
      </c>
      <c r="I23" s="24">
        <v>3163979.22</v>
      </c>
      <c r="J23" s="24">
        <f>1547525.65+97350+77408</f>
        <v>1722283.65</v>
      </c>
      <c r="K23" s="24">
        <f>1116376.22+97350</f>
        <v>1213726.22</v>
      </c>
      <c r="L23" s="24">
        <v>1682326.22</v>
      </c>
      <c r="M23" s="24">
        <f>3302955.78+269647.11</f>
        <v>3572602.8899999997</v>
      </c>
      <c r="N23" s="24">
        <f>1177876.22+97674.5</f>
        <v>1275550.72</v>
      </c>
      <c r="O23" s="24">
        <f>2228099.18+99342.43+259851</f>
        <v>2587292.6100000003</v>
      </c>
      <c r="P23" s="24">
        <f>1177876.22+128939.99+99602.03</f>
        <v>1406418.24</v>
      </c>
      <c r="Q23" s="24">
        <f>2492361.82+98284.56</f>
        <v>2590646.38</v>
      </c>
      <c r="R23" s="24">
        <f t="shared" si="1"/>
        <v>19690521.169999998</v>
      </c>
    </row>
    <row r="24" spans="3:18" x14ac:dyDescent="0.25">
      <c r="C24" s="5" t="s">
        <v>13</v>
      </c>
      <c r="D24" s="24">
        <v>13398400</v>
      </c>
      <c r="E24" s="24">
        <v>13337160</v>
      </c>
      <c r="F24" s="24">
        <v>1026242.64</v>
      </c>
      <c r="G24" s="24">
        <v>698548.14</v>
      </c>
      <c r="H24" s="24">
        <v>1325134.54</v>
      </c>
      <c r="I24" s="24">
        <v>1179873.56</v>
      </c>
      <c r="J24" s="24">
        <v>1319951.22</v>
      </c>
      <c r="K24" s="24">
        <f>266199.7+1059627.72</f>
        <v>1325827.42</v>
      </c>
      <c r="L24" s="24">
        <v>641188.48</v>
      </c>
      <c r="M24" s="24">
        <v>988271.8</v>
      </c>
      <c r="N24" s="24">
        <v>966601.02</v>
      </c>
      <c r="O24" s="24">
        <f>392531.66+1357015.21</f>
        <v>1749546.8699999999</v>
      </c>
      <c r="P24" s="24">
        <v>991220.23</v>
      </c>
      <c r="Q24" s="24">
        <v>611370.61</v>
      </c>
      <c r="R24" s="24">
        <f t="shared" si="1"/>
        <v>12823776.529999999</v>
      </c>
    </row>
    <row r="25" spans="3:18" ht="30" x14ac:dyDescent="0.25">
      <c r="C25" s="28" t="s">
        <v>14</v>
      </c>
      <c r="D25" s="24">
        <v>2156200</v>
      </c>
      <c r="E25" s="24">
        <v>6391486.8099999996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f>301246.82+194012.6+6490</f>
        <v>501749.42000000004</v>
      </c>
      <c r="N25" s="24">
        <v>474714</v>
      </c>
      <c r="O25" s="24">
        <f>494166.3+1497256.62+511434.5+54044</f>
        <v>2556901.42</v>
      </c>
      <c r="P25" s="24">
        <f>82600+412579.8+89750.8</f>
        <v>584930.6</v>
      </c>
      <c r="Q25" s="24">
        <f>216116+98530+233506.01+184661</f>
        <v>732813.01</v>
      </c>
      <c r="R25" s="24">
        <f t="shared" si="1"/>
        <v>4851108.45</v>
      </c>
    </row>
    <row r="26" spans="3:18" x14ac:dyDescent="0.25">
      <c r="C26" s="5" t="s">
        <v>15</v>
      </c>
      <c r="D26" s="24">
        <v>25715580</v>
      </c>
      <c r="E26" s="24">
        <v>27537624.800000001</v>
      </c>
      <c r="F26" s="24">
        <v>0</v>
      </c>
      <c r="G26" s="24">
        <v>131643.53</v>
      </c>
      <c r="H26" s="24">
        <v>0</v>
      </c>
      <c r="I26" s="24">
        <v>0</v>
      </c>
      <c r="J26" s="24">
        <v>696200</v>
      </c>
      <c r="K26" s="24">
        <v>206100</v>
      </c>
      <c r="L26" s="24">
        <f>118935.88+53690+55696+124400</f>
        <v>352721.88</v>
      </c>
      <c r="M26" s="24">
        <f>5672.69+13688+66000+25075+57558.11</f>
        <v>167993.8</v>
      </c>
      <c r="N26" s="24">
        <f>32332+1343618.94</f>
        <v>1375950.94</v>
      </c>
      <c r="O26" s="24">
        <f>3387.12+4130+136249+33000+10832</f>
        <v>187598.12</v>
      </c>
      <c r="P26" s="24">
        <f>66000+110000+209500</f>
        <v>385500</v>
      </c>
      <c r="Q26" s="24">
        <f>13088.25+39981.72+192262+66000+127440+7613.3</f>
        <v>446385.26999999996</v>
      </c>
      <c r="R26" s="24">
        <f t="shared" si="1"/>
        <v>3950093.5400000005</v>
      </c>
    </row>
    <row r="27" spans="3:18" x14ac:dyDescent="0.25">
      <c r="C27" s="5" t="s">
        <v>16</v>
      </c>
      <c r="D27" s="24">
        <v>2780000</v>
      </c>
      <c r="E27" s="24">
        <v>3432493.08</v>
      </c>
      <c r="F27" s="24">
        <v>0</v>
      </c>
      <c r="G27" s="24">
        <v>109091.53</v>
      </c>
      <c r="H27" s="24">
        <v>0</v>
      </c>
      <c r="I27" s="24">
        <v>0</v>
      </c>
      <c r="J27" s="24">
        <v>305679.68</v>
      </c>
      <c r="K27" s="24">
        <v>336604.66</v>
      </c>
      <c r="L27" s="24">
        <v>0</v>
      </c>
      <c r="M27" s="24">
        <v>513245.06</v>
      </c>
      <c r="N27" s="24">
        <f>101720.99+107144</f>
        <v>208864.99</v>
      </c>
      <c r="O27" s="24">
        <f>298451.91+70906.15</f>
        <v>369358.05999999994</v>
      </c>
      <c r="P27" s="24">
        <v>0</v>
      </c>
      <c r="Q27" s="24">
        <f>309413.85+171188.5</f>
        <v>480602.35</v>
      </c>
      <c r="R27" s="24">
        <f t="shared" si="1"/>
        <v>2323446.33</v>
      </c>
    </row>
    <row r="28" spans="3:18" x14ac:dyDescent="0.25">
      <c r="C28" s="3" t="s">
        <v>17</v>
      </c>
      <c r="D28" s="25">
        <f>D29+D30+D31+D32+D33+D34+D35+D37</f>
        <v>17410024</v>
      </c>
      <c r="E28" s="25">
        <f>E29+E30+E31+E32+E33+E34+E35+E37</f>
        <v>16340276.07</v>
      </c>
      <c r="F28" s="25">
        <f t="shared" ref="F28:N28" si="4">F29+F30+F31+F32+F33+F34+F35+F37</f>
        <v>716147</v>
      </c>
      <c r="G28" s="25">
        <f t="shared" si="4"/>
        <v>0</v>
      </c>
      <c r="H28" s="25">
        <f>H29+H30+H31+H32+H33+H34+H35+H37</f>
        <v>1482603.54</v>
      </c>
      <c r="I28" s="25">
        <f t="shared" si="4"/>
        <v>0</v>
      </c>
      <c r="J28" s="25">
        <f>J29+J30+J31+J32+J33+J34+J35+J37</f>
        <v>896335.05</v>
      </c>
      <c r="K28" s="25">
        <f>K29+K30+K31+K32+K33+K34+K35+K37</f>
        <v>448073.74</v>
      </c>
      <c r="L28" s="25">
        <f>L29+L30+L31+L32+L33+L34+L35+L37</f>
        <v>107462</v>
      </c>
      <c r="M28" s="25">
        <f t="shared" si="4"/>
        <v>3769152.1700000004</v>
      </c>
      <c r="N28" s="25">
        <f t="shared" si="4"/>
        <v>1796256.61</v>
      </c>
      <c r="O28" s="25">
        <f>O29+O30+O31+O32+O33+O34+O35+O37</f>
        <v>519705.44000000006</v>
      </c>
      <c r="P28" s="25">
        <f>P29+P30+P31+P32+P33+P34+P35+P37+P36</f>
        <v>896804.32</v>
      </c>
      <c r="Q28" s="25">
        <f>Q29+Q30+Q31+Q32+Q33+Q34+Q35+Q37</f>
        <v>4816272.8900000006</v>
      </c>
      <c r="R28" s="25">
        <f>R29+R30+R31+R32+R33+R34+R35+R37+R36</f>
        <v>15448812.760000002</v>
      </c>
    </row>
    <row r="29" spans="3:18" x14ac:dyDescent="0.25">
      <c r="C29" s="5" t="s">
        <v>18</v>
      </c>
      <c r="D29" s="24">
        <v>5385000</v>
      </c>
      <c r="E29" s="24">
        <v>1082125.57</v>
      </c>
      <c r="F29" s="24">
        <v>0</v>
      </c>
      <c r="G29" s="24">
        <v>0</v>
      </c>
      <c r="H29" s="24">
        <v>6580</v>
      </c>
      <c r="I29" s="24">
        <v>0</v>
      </c>
      <c r="J29" s="24">
        <f>120076.78+12242.5</f>
        <v>132319.28</v>
      </c>
      <c r="K29" s="24">
        <v>185709.9</v>
      </c>
      <c r="L29" s="24">
        <v>7280</v>
      </c>
      <c r="M29" s="24">
        <f>148599.03+30836.79+1155</f>
        <v>180590.82</v>
      </c>
      <c r="N29" s="24">
        <v>48577.3</v>
      </c>
      <c r="O29" s="24">
        <f>98484.28+12083.2</f>
        <v>110567.48</v>
      </c>
      <c r="P29" s="24">
        <v>0</v>
      </c>
      <c r="Q29" s="24">
        <f>282210.07+7709.7+194.5</f>
        <v>290114.27</v>
      </c>
      <c r="R29" s="24">
        <f t="shared" ref="R29:R36" si="5">SUM(F29:Q29)</f>
        <v>961739.05</v>
      </c>
    </row>
    <row r="30" spans="3:18" x14ac:dyDescent="0.25">
      <c r="C30" s="5" t="s">
        <v>19</v>
      </c>
      <c r="D30" s="24">
        <v>308000</v>
      </c>
      <c r="E30" s="24">
        <v>378292.97</v>
      </c>
      <c r="F30" s="24">
        <v>0</v>
      </c>
      <c r="G30" s="24">
        <v>0</v>
      </c>
      <c r="H30" s="24">
        <v>0</v>
      </c>
      <c r="I30" s="24">
        <v>0</v>
      </c>
      <c r="J30" s="24">
        <v>4099.9799999999996</v>
      </c>
      <c r="K30" s="24">
        <v>103604</v>
      </c>
      <c r="L30" s="24">
        <v>0</v>
      </c>
      <c r="M30" s="24">
        <v>560</v>
      </c>
      <c r="N30" s="24">
        <v>0</v>
      </c>
      <c r="O30" s="24">
        <v>0</v>
      </c>
      <c r="P30" s="24">
        <v>0</v>
      </c>
      <c r="Q30" s="24">
        <f>2159.97+4318</f>
        <v>6477.9699999999993</v>
      </c>
      <c r="R30" s="24">
        <f t="shared" si="5"/>
        <v>114741.95</v>
      </c>
    </row>
    <row r="31" spans="3:18" x14ac:dyDescent="0.25">
      <c r="C31" s="5" t="s">
        <v>20</v>
      </c>
      <c r="D31" s="24">
        <v>675000</v>
      </c>
      <c r="E31" s="24">
        <v>654038.26</v>
      </c>
      <c r="F31" s="24">
        <v>0</v>
      </c>
      <c r="G31" s="24">
        <v>0</v>
      </c>
      <c r="H31" s="24">
        <v>0</v>
      </c>
      <c r="I31" s="24">
        <v>0</v>
      </c>
      <c r="J31" s="24">
        <f>5249.82+73899.86+33420.5</f>
        <v>112570.18</v>
      </c>
      <c r="K31" s="24">
        <v>0</v>
      </c>
      <c r="L31" s="24">
        <v>0</v>
      </c>
      <c r="M31" s="24">
        <f>803.95+13600+1888</f>
        <v>16291.95</v>
      </c>
      <c r="N31" s="24">
        <f>137696.56+8650</f>
        <v>146346.56</v>
      </c>
      <c r="O31" s="24">
        <f>89208+6444.9</f>
        <v>95652.9</v>
      </c>
      <c r="P31" s="24">
        <v>0</v>
      </c>
      <c r="Q31" s="24">
        <f>50799+117015.64+5600.01</f>
        <v>173414.65000000002</v>
      </c>
      <c r="R31" s="24">
        <f t="shared" si="5"/>
        <v>544276.24</v>
      </c>
    </row>
    <row r="32" spans="3:18" x14ac:dyDescent="0.25">
      <c r="C32" s="5" t="s">
        <v>21</v>
      </c>
      <c r="D32" s="24">
        <v>50000</v>
      </c>
      <c r="E32" s="24">
        <v>50000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4">
        <f t="shared" si="5"/>
        <v>0</v>
      </c>
    </row>
    <row r="33" spans="3:18" x14ac:dyDescent="0.25">
      <c r="C33" s="5" t="s">
        <v>22</v>
      </c>
      <c r="D33" s="24">
        <v>385000</v>
      </c>
      <c r="E33" s="24">
        <v>306270.77</v>
      </c>
      <c r="F33" s="24">
        <v>0</v>
      </c>
      <c r="G33" s="24">
        <v>0</v>
      </c>
      <c r="H33" s="24">
        <v>0</v>
      </c>
      <c r="I33" s="24">
        <v>0</v>
      </c>
      <c r="J33" s="24">
        <v>34135.040000000001</v>
      </c>
      <c r="K33" s="24">
        <v>0</v>
      </c>
      <c r="L33" s="24">
        <v>0</v>
      </c>
      <c r="M33" s="24">
        <f>108019.77+14760.08</f>
        <v>122779.85</v>
      </c>
      <c r="N33" s="24">
        <v>0</v>
      </c>
      <c r="O33" s="24">
        <f>639+300+5384.65</f>
        <v>6323.65</v>
      </c>
      <c r="P33" s="24">
        <v>0</v>
      </c>
      <c r="Q33" s="24">
        <f>6395.1+725+26450.67</f>
        <v>33570.769999999997</v>
      </c>
      <c r="R33" s="24">
        <f t="shared" si="5"/>
        <v>196809.31</v>
      </c>
    </row>
    <row r="34" spans="3:18" x14ac:dyDescent="0.25">
      <c r="C34" s="5" t="s">
        <v>23</v>
      </c>
      <c r="D34" s="24">
        <v>120000</v>
      </c>
      <c r="E34" s="24">
        <v>135705.01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f>649+300+10280+2055+5749.05+3517.48</f>
        <v>22550.53</v>
      </c>
      <c r="N34" s="24">
        <f>14368.67+1146.49</f>
        <v>15515.16</v>
      </c>
      <c r="O34" s="24">
        <f>1851+5336+5976.72</f>
        <v>13163.720000000001</v>
      </c>
      <c r="P34" s="24">
        <v>0</v>
      </c>
      <c r="Q34" s="24">
        <f>320.04+1690+8750+375+26569.97</f>
        <v>37705.01</v>
      </c>
      <c r="R34" s="24">
        <f t="shared" si="5"/>
        <v>88934.420000000013</v>
      </c>
    </row>
    <row r="35" spans="3:18" x14ac:dyDescent="0.25">
      <c r="C35" s="5" t="s">
        <v>24</v>
      </c>
      <c r="D35" s="24">
        <v>7350000</v>
      </c>
      <c r="E35" s="24">
        <v>11918036.1</v>
      </c>
      <c r="F35" s="24">
        <v>716147</v>
      </c>
      <c r="G35" s="24">
        <v>0</v>
      </c>
      <c r="H35" s="24">
        <v>1421500</v>
      </c>
      <c r="I35" s="24">
        <v>0</v>
      </c>
      <c r="J35" s="24">
        <v>400000</v>
      </c>
      <c r="K35" s="24">
        <v>0</v>
      </c>
      <c r="L35" s="24">
        <v>0</v>
      </c>
      <c r="M35" s="24">
        <f>3067558.4+33240+5440.08+3500+11014.99+5068.75+149+54263.68+26133.68</f>
        <v>3206368.5800000005</v>
      </c>
      <c r="N35" s="24">
        <f>1400000+1886.82+3717</f>
        <v>1405603.82</v>
      </c>
      <c r="O35" s="24">
        <f>70742+3460+293+6274.65</f>
        <v>80769.649999999994</v>
      </c>
      <c r="P35" s="24">
        <f>7500+99941.6+750000</f>
        <v>857441.6</v>
      </c>
      <c r="Q35" s="24">
        <f>3743065+1200+2500+6300+3835+534+12900+5318.6+13629.12</f>
        <v>3789281.72</v>
      </c>
      <c r="R35" s="24">
        <f t="shared" si="5"/>
        <v>11877112.370000001</v>
      </c>
    </row>
    <row r="36" spans="3:18" x14ac:dyDescent="0.25">
      <c r="C36" s="5" t="s">
        <v>25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f>18944+20418.72</f>
        <v>39362.720000000001</v>
      </c>
      <c r="Q36" s="24">
        <v>0</v>
      </c>
      <c r="R36" s="24">
        <f t="shared" si="5"/>
        <v>39362.720000000001</v>
      </c>
    </row>
    <row r="37" spans="3:18" x14ac:dyDescent="0.25">
      <c r="C37" s="5" t="s">
        <v>26</v>
      </c>
      <c r="D37" s="24">
        <v>3137024</v>
      </c>
      <c r="E37" s="24">
        <v>1815807.39</v>
      </c>
      <c r="F37" s="24">
        <v>0</v>
      </c>
      <c r="G37" s="24">
        <v>0</v>
      </c>
      <c r="H37" s="24">
        <v>54523.54</v>
      </c>
      <c r="I37" s="24">
        <v>0</v>
      </c>
      <c r="J37" s="24">
        <f>48132.55+45174.73+59251.29+20650+40002</f>
        <v>213210.57</v>
      </c>
      <c r="K37" s="24">
        <v>158759.84</v>
      </c>
      <c r="L37" s="24">
        <f>28320+46020+25842</f>
        <v>100182</v>
      </c>
      <c r="M37" s="24">
        <f>6864.1+16637.74+3968.75+116457.34+33261.4+3854.99+5917.22+30998.98+2049.92</f>
        <v>220010.44</v>
      </c>
      <c r="N37" s="24">
        <f>44161.5+33819.09+1274.4+708+16437.4+18148.4+25550.39+20282.44+19832.15</f>
        <v>180213.77</v>
      </c>
      <c r="O37" s="24">
        <f>1747.18+14131.25+8292.8+144911.5+3540+20279.81+20325.5</f>
        <v>213228.04</v>
      </c>
      <c r="P37" s="24">
        <v>0</v>
      </c>
      <c r="Q37" s="24">
        <f>78962.17+64232.55+767+66883.01+146906.52+7341.22+9875+32317.94+50002.5+28420.59</f>
        <v>485708.5</v>
      </c>
      <c r="R37" s="24">
        <f>SUM(F37:Q37)</f>
        <v>1625836.7</v>
      </c>
    </row>
    <row r="38" spans="3:18" x14ac:dyDescent="0.25">
      <c r="C38" s="3" t="s">
        <v>27</v>
      </c>
      <c r="D38" s="25">
        <f>D39</f>
        <v>0</v>
      </c>
      <c r="E38" s="25">
        <f>E39</f>
        <v>24000</v>
      </c>
      <c r="F38" s="25">
        <f t="shared" ref="F38:R38" si="6">F39</f>
        <v>0</v>
      </c>
      <c r="G38" s="25">
        <f t="shared" si="6"/>
        <v>0</v>
      </c>
      <c r="H38" s="25">
        <f t="shared" si="6"/>
        <v>24000</v>
      </c>
      <c r="I38" s="25">
        <f t="shared" si="6"/>
        <v>0</v>
      </c>
      <c r="J38" s="25">
        <f t="shared" si="6"/>
        <v>0</v>
      </c>
      <c r="K38" s="25">
        <f t="shared" si="6"/>
        <v>0</v>
      </c>
      <c r="L38" s="25">
        <f t="shared" si="6"/>
        <v>0</v>
      </c>
      <c r="M38" s="25">
        <f t="shared" si="6"/>
        <v>0</v>
      </c>
      <c r="N38" s="25">
        <f t="shared" si="6"/>
        <v>0</v>
      </c>
      <c r="O38" s="25">
        <f t="shared" si="6"/>
        <v>0</v>
      </c>
      <c r="P38" s="25">
        <f t="shared" si="6"/>
        <v>0</v>
      </c>
      <c r="Q38" s="25">
        <f t="shared" si="6"/>
        <v>0</v>
      </c>
      <c r="R38" s="25">
        <f t="shared" si="6"/>
        <v>24000</v>
      </c>
    </row>
    <row r="39" spans="3:18" x14ac:dyDescent="0.25">
      <c r="C39" s="5" t="s">
        <v>28</v>
      </c>
      <c r="D39" s="24">
        <v>0</v>
      </c>
      <c r="E39" s="24">
        <v>24000</v>
      </c>
      <c r="F39" s="24">
        <v>0</v>
      </c>
      <c r="G39" s="24">
        <v>0</v>
      </c>
      <c r="H39" s="24">
        <v>24000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f>SUM(F39:Q39)</f>
        <v>24000</v>
      </c>
    </row>
    <row r="40" spans="3:18" x14ac:dyDescent="0.25">
      <c r="C40" s="5" t="s">
        <v>29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</row>
    <row r="41" spans="3:18" x14ac:dyDescent="0.25">
      <c r="C41" s="5" t="s">
        <v>30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</row>
    <row r="42" spans="3:18" x14ac:dyDescent="0.25">
      <c r="C42" s="5" t="s">
        <v>31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</row>
    <row r="43" spans="3:18" x14ac:dyDescent="0.25">
      <c r="C43" s="5" t="s">
        <v>32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</row>
    <row r="44" spans="3:18" x14ac:dyDescent="0.25">
      <c r="C44" s="5" t="s">
        <v>33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</row>
    <row r="45" spans="3:18" x14ac:dyDescent="0.25">
      <c r="C45" s="5" t="s">
        <v>34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</row>
    <row r="46" spans="3:18" x14ac:dyDescent="0.25">
      <c r="C46" s="5" t="s">
        <v>35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</row>
    <row r="47" spans="3:18" x14ac:dyDescent="0.25">
      <c r="C47" s="3" t="s">
        <v>36</v>
      </c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</row>
    <row r="48" spans="3:18" x14ac:dyDescent="0.25">
      <c r="C48" s="5" t="s">
        <v>37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</row>
    <row r="49" spans="3:18" x14ac:dyDescent="0.25">
      <c r="C49" s="5" t="s">
        <v>38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</row>
    <row r="50" spans="3:18" x14ac:dyDescent="0.25">
      <c r="C50" s="5" t="s">
        <v>39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</row>
    <row r="51" spans="3:18" x14ac:dyDescent="0.25">
      <c r="C51" s="5" t="s">
        <v>40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</row>
    <row r="52" spans="3:18" x14ac:dyDescent="0.25">
      <c r="C52" s="5" t="s">
        <v>41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  <c r="R52" s="24">
        <v>0</v>
      </c>
    </row>
    <row r="53" spans="3:18" x14ac:dyDescent="0.25">
      <c r="C53" s="5" t="s">
        <v>42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0</v>
      </c>
      <c r="P53" s="24">
        <v>0</v>
      </c>
      <c r="Q53" s="24">
        <v>0</v>
      </c>
      <c r="R53" s="24">
        <v>0</v>
      </c>
    </row>
    <row r="54" spans="3:18" x14ac:dyDescent="0.25">
      <c r="C54" s="3" t="s">
        <v>43</v>
      </c>
      <c r="D54" s="25">
        <f>D55+D58+D59</f>
        <v>2065000</v>
      </c>
      <c r="E54" s="25">
        <f>E55+E58+E59+E56+E62+E60</f>
        <v>3345000</v>
      </c>
      <c r="F54" s="25">
        <f>F55+F58+F59</f>
        <v>0</v>
      </c>
      <c r="G54" s="25">
        <f>G55+G58+G59</f>
        <v>0</v>
      </c>
      <c r="H54" s="25">
        <f>H55+H58+H59</f>
        <v>0</v>
      </c>
      <c r="I54" s="25">
        <f>I55+I58+I59</f>
        <v>0</v>
      </c>
      <c r="J54" s="25">
        <f>J55+J58+J59+J56</f>
        <v>100772</v>
      </c>
      <c r="K54" s="25">
        <f t="shared" ref="K54:P54" si="7">K55+K58+K59</f>
        <v>0</v>
      </c>
      <c r="L54" s="25">
        <f t="shared" si="7"/>
        <v>47189.38</v>
      </c>
      <c r="M54" s="25">
        <f t="shared" si="7"/>
        <v>483065.52</v>
      </c>
      <c r="N54" s="25">
        <f>N55+N58+N59+N62</f>
        <v>442570.42000000004</v>
      </c>
      <c r="O54" s="25">
        <f t="shared" si="7"/>
        <v>0</v>
      </c>
      <c r="P54" s="25">
        <f t="shared" si="7"/>
        <v>0</v>
      </c>
      <c r="Q54" s="25">
        <f>Q55+Q58+Q59+Q56+Q60</f>
        <v>1030475.88</v>
      </c>
      <c r="R54" s="25">
        <f>SUM(F54:Q54)</f>
        <v>2104073.2000000002</v>
      </c>
    </row>
    <row r="55" spans="3:18" x14ac:dyDescent="0.25">
      <c r="C55" s="5" t="s">
        <v>44</v>
      </c>
      <c r="D55" s="24">
        <v>1965000</v>
      </c>
      <c r="E55" s="24">
        <v>1632102</v>
      </c>
      <c r="F55" s="24">
        <v>0</v>
      </c>
      <c r="G55" s="24">
        <v>0</v>
      </c>
      <c r="H55" s="24">
        <v>0</v>
      </c>
      <c r="I55" s="24">
        <v>0</v>
      </c>
      <c r="J55" s="24">
        <v>100772</v>
      </c>
      <c r="K55" s="24">
        <v>0</v>
      </c>
      <c r="L55" s="24">
        <v>47189.38</v>
      </c>
      <c r="M55" s="24">
        <f>77950.8+44458.8</f>
        <v>122409.60000000001</v>
      </c>
      <c r="N55" s="24">
        <f>33846.74+24067.28</f>
        <v>57914.02</v>
      </c>
      <c r="O55" s="24"/>
      <c r="P55" s="24"/>
      <c r="Q55" s="24">
        <f>225822.08+184268.8</f>
        <v>410090.88</v>
      </c>
      <c r="R55" s="24">
        <f>SUM(F55:Q55)</f>
        <v>738375.88</v>
      </c>
    </row>
    <row r="56" spans="3:18" x14ac:dyDescent="0.25">
      <c r="C56" s="5" t="s">
        <v>45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  <c r="Q56" s="24">
        <v>0</v>
      </c>
      <c r="R56" s="24">
        <f>SUM(F56:Q56)</f>
        <v>0</v>
      </c>
    </row>
    <row r="57" spans="3:18" x14ac:dyDescent="0.25">
      <c r="C57" s="5" t="s">
        <v>46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  <c r="P57" s="24">
        <v>0</v>
      </c>
      <c r="Q57" s="24">
        <v>0</v>
      </c>
      <c r="R57" s="24">
        <f t="shared" ref="R57:R62" si="8">SUM(F57:Q57)</f>
        <v>0</v>
      </c>
    </row>
    <row r="58" spans="3:18" x14ac:dyDescent="0.25">
      <c r="C58" s="5" t="s">
        <v>47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  <c r="P58" s="24">
        <v>0</v>
      </c>
      <c r="Q58" s="24">
        <v>0</v>
      </c>
      <c r="R58" s="24">
        <f t="shared" si="8"/>
        <v>0</v>
      </c>
    </row>
    <row r="59" spans="3:18" x14ac:dyDescent="0.25">
      <c r="C59" s="5" t="s">
        <v>48</v>
      </c>
      <c r="D59" s="24">
        <v>100000</v>
      </c>
      <c r="E59" s="24">
        <v>1482898</v>
      </c>
      <c r="F59" s="24">
        <v>0</v>
      </c>
      <c r="G59" s="24">
        <v>0</v>
      </c>
      <c r="H59" s="24">
        <v>0</v>
      </c>
      <c r="I59" s="24">
        <v>0</v>
      </c>
      <c r="J59" s="24">
        <v>0</v>
      </c>
      <c r="K59" s="24">
        <v>0</v>
      </c>
      <c r="L59" s="24">
        <v>0</v>
      </c>
      <c r="M59" s="24">
        <f>350408.92+10247</f>
        <v>360655.92</v>
      </c>
      <c r="N59" s="24">
        <f>21358+298540</f>
        <v>319898</v>
      </c>
      <c r="O59" s="24">
        <v>0</v>
      </c>
      <c r="P59" s="24">
        <v>0</v>
      </c>
      <c r="Q59" s="24">
        <v>567816</v>
      </c>
      <c r="R59" s="24">
        <f t="shared" si="8"/>
        <v>1248369.92</v>
      </c>
    </row>
    <row r="60" spans="3:18" x14ac:dyDescent="0.25">
      <c r="C60" s="5" t="s">
        <v>49</v>
      </c>
      <c r="D60" s="24">
        <v>0</v>
      </c>
      <c r="E60" s="24">
        <v>54000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  <c r="O60" s="24">
        <v>0</v>
      </c>
      <c r="P60" s="24">
        <v>0</v>
      </c>
      <c r="Q60" s="24">
        <v>52569</v>
      </c>
      <c r="R60" s="24">
        <f t="shared" si="8"/>
        <v>52569</v>
      </c>
    </row>
    <row r="61" spans="3:18" x14ac:dyDescent="0.25">
      <c r="C61" s="5" t="s">
        <v>50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  <c r="M61" s="24">
        <v>0</v>
      </c>
      <c r="N61" s="24">
        <v>0</v>
      </c>
      <c r="O61" s="24">
        <v>0</v>
      </c>
      <c r="P61" s="24">
        <v>0</v>
      </c>
      <c r="Q61" s="24">
        <v>0</v>
      </c>
      <c r="R61" s="24">
        <v>0</v>
      </c>
    </row>
    <row r="62" spans="3:18" x14ac:dyDescent="0.25">
      <c r="C62" s="5" t="s">
        <v>51</v>
      </c>
      <c r="D62" s="24">
        <v>0</v>
      </c>
      <c r="E62" s="24">
        <v>176000</v>
      </c>
      <c r="F62" s="24">
        <v>0</v>
      </c>
      <c r="G62" s="24">
        <v>0</v>
      </c>
      <c r="H62" s="24">
        <v>0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64758.400000000001</v>
      </c>
      <c r="O62" s="24">
        <v>0</v>
      </c>
      <c r="P62" s="24">
        <v>0</v>
      </c>
      <c r="Q62" s="24">
        <v>0</v>
      </c>
      <c r="R62" s="24">
        <f t="shared" si="8"/>
        <v>64758.400000000001</v>
      </c>
    </row>
    <row r="63" spans="3:18" x14ac:dyDescent="0.25">
      <c r="C63" s="5" t="s">
        <v>52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  <c r="O63" s="24">
        <v>0</v>
      </c>
      <c r="P63" s="24">
        <v>0</v>
      </c>
      <c r="Q63" s="24">
        <v>0</v>
      </c>
      <c r="R63" s="24">
        <v>0</v>
      </c>
    </row>
    <row r="64" spans="3:18" x14ac:dyDescent="0.25">
      <c r="C64" s="3" t="s">
        <v>53</v>
      </c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</row>
    <row r="65" spans="3:18" x14ac:dyDescent="0.25">
      <c r="C65" s="5" t="s">
        <v>54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v>0</v>
      </c>
      <c r="K65" s="24">
        <v>0</v>
      </c>
      <c r="L65" s="24">
        <v>0</v>
      </c>
      <c r="M65" s="24">
        <v>0</v>
      </c>
      <c r="N65" s="24">
        <v>0</v>
      </c>
      <c r="O65" s="24">
        <v>0</v>
      </c>
      <c r="P65" s="24">
        <v>0</v>
      </c>
      <c r="Q65" s="24">
        <v>0</v>
      </c>
      <c r="R65" s="24">
        <v>0</v>
      </c>
    </row>
    <row r="66" spans="3:18" x14ac:dyDescent="0.25">
      <c r="C66" s="5" t="s">
        <v>55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  <c r="O66" s="24">
        <v>0</v>
      </c>
      <c r="P66" s="24">
        <v>0</v>
      </c>
      <c r="Q66" s="24">
        <v>0</v>
      </c>
      <c r="R66" s="24">
        <v>0</v>
      </c>
    </row>
    <row r="67" spans="3:18" x14ac:dyDescent="0.25">
      <c r="C67" s="5" t="s">
        <v>56</v>
      </c>
      <c r="D67" s="24">
        <v>0</v>
      </c>
      <c r="E67" s="24">
        <v>0</v>
      </c>
      <c r="F67" s="24">
        <v>0</v>
      </c>
      <c r="G67" s="24">
        <v>0</v>
      </c>
      <c r="H67" s="24">
        <v>0</v>
      </c>
      <c r="I67" s="24">
        <v>0</v>
      </c>
      <c r="J67" s="24">
        <v>0</v>
      </c>
      <c r="K67" s="24">
        <v>0</v>
      </c>
      <c r="L67" s="24">
        <v>0</v>
      </c>
      <c r="M67" s="24">
        <v>0</v>
      </c>
      <c r="N67" s="24">
        <v>0</v>
      </c>
      <c r="O67" s="24">
        <v>0</v>
      </c>
      <c r="P67" s="24">
        <v>0</v>
      </c>
      <c r="Q67" s="24">
        <v>0</v>
      </c>
      <c r="R67" s="24">
        <v>0</v>
      </c>
    </row>
    <row r="68" spans="3:18" x14ac:dyDescent="0.25">
      <c r="C68" s="5" t="s">
        <v>57</v>
      </c>
      <c r="D68" s="24">
        <v>0</v>
      </c>
      <c r="E68" s="24">
        <v>0</v>
      </c>
      <c r="F68" s="24">
        <v>0</v>
      </c>
      <c r="G68" s="24">
        <v>0</v>
      </c>
      <c r="H68" s="24">
        <v>0</v>
      </c>
      <c r="I68" s="24">
        <v>0</v>
      </c>
      <c r="J68" s="24">
        <v>0</v>
      </c>
      <c r="K68" s="24">
        <v>0</v>
      </c>
      <c r="L68" s="24">
        <v>0</v>
      </c>
      <c r="M68" s="24">
        <v>0</v>
      </c>
      <c r="N68" s="24">
        <v>0</v>
      </c>
      <c r="O68" s="24">
        <v>0</v>
      </c>
      <c r="P68" s="24">
        <v>0</v>
      </c>
      <c r="Q68" s="24">
        <v>0</v>
      </c>
      <c r="R68" s="24">
        <v>0</v>
      </c>
    </row>
    <row r="69" spans="3:18" x14ac:dyDescent="0.25">
      <c r="C69" s="3" t="s">
        <v>58</v>
      </c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</row>
    <row r="70" spans="3:18" x14ac:dyDescent="0.25">
      <c r="C70" s="5" t="s">
        <v>59</v>
      </c>
      <c r="D70" s="24">
        <v>0</v>
      </c>
      <c r="E70" s="24">
        <v>0</v>
      </c>
      <c r="F70" s="24">
        <v>0</v>
      </c>
      <c r="G70" s="24">
        <v>0</v>
      </c>
      <c r="H70" s="24">
        <v>0</v>
      </c>
      <c r="I70" s="24">
        <v>0</v>
      </c>
      <c r="J70" s="24">
        <v>0</v>
      </c>
      <c r="K70" s="24">
        <v>0</v>
      </c>
      <c r="L70" s="24">
        <v>0</v>
      </c>
      <c r="M70" s="24">
        <v>0</v>
      </c>
      <c r="N70" s="24">
        <v>0</v>
      </c>
      <c r="O70" s="24">
        <v>0</v>
      </c>
      <c r="P70" s="24">
        <v>0</v>
      </c>
      <c r="Q70" s="24">
        <v>0</v>
      </c>
      <c r="R70" s="24">
        <v>0</v>
      </c>
    </row>
    <row r="71" spans="3:18" x14ac:dyDescent="0.25">
      <c r="C71" s="5" t="s">
        <v>60</v>
      </c>
      <c r="D71" s="24">
        <v>0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  <c r="O71" s="24">
        <v>0</v>
      </c>
      <c r="P71" s="24">
        <v>0</v>
      </c>
      <c r="Q71" s="24">
        <v>0</v>
      </c>
      <c r="R71" s="24">
        <v>0</v>
      </c>
    </row>
    <row r="72" spans="3:18" x14ac:dyDescent="0.25">
      <c r="C72" s="3" t="s">
        <v>61</v>
      </c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</row>
    <row r="73" spans="3:18" x14ac:dyDescent="0.25">
      <c r="C73" s="5" t="s">
        <v>62</v>
      </c>
      <c r="D73" s="24">
        <v>0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  <c r="O73" s="24">
        <v>0</v>
      </c>
      <c r="P73" s="24">
        <v>0</v>
      </c>
      <c r="Q73" s="24">
        <v>0</v>
      </c>
      <c r="R73" s="24">
        <v>0</v>
      </c>
    </row>
    <row r="74" spans="3:18" x14ac:dyDescent="0.25">
      <c r="C74" s="5" t="s">
        <v>63</v>
      </c>
      <c r="D74" s="24">
        <v>0</v>
      </c>
      <c r="E74" s="24">
        <v>0</v>
      </c>
      <c r="F74" s="24">
        <v>0</v>
      </c>
      <c r="G74" s="24">
        <v>0</v>
      </c>
      <c r="H74" s="24">
        <v>0</v>
      </c>
      <c r="I74" s="24">
        <v>0</v>
      </c>
      <c r="J74" s="24">
        <v>0</v>
      </c>
      <c r="K74" s="24">
        <v>0</v>
      </c>
      <c r="L74" s="24">
        <v>0</v>
      </c>
      <c r="M74" s="24">
        <v>0</v>
      </c>
      <c r="N74" s="24">
        <v>0</v>
      </c>
      <c r="O74" s="24">
        <v>0</v>
      </c>
      <c r="P74" s="24">
        <v>0</v>
      </c>
      <c r="Q74" s="24">
        <v>0</v>
      </c>
      <c r="R74" s="24">
        <v>0</v>
      </c>
    </row>
    <row r="75" spans="3:18" x14ac:dyDescent="0.25">
      <c r="C75" s="5" t="s">
        <v>64</v>
      </c>
      <c r="D75" s="24">
        <v>0</v>
      </c>
      <c r="E75" s="24">
        <v>0</v>
      </c>
      <c r="F75" s="24">
        <v>0</v>
      </c>
      <c r="G75" s="24">
        <v>0</v>
      </c>
      <c r="H75" s="24">
        <v>0</v>
      </c>
      <c r="I75" s="24">
        <v>0</v>
      </c>
      <c r="J75" s="24">
        <v>0</v>
      </c>
      <c r="K75" s="24">
        <v>0</v>
      </c>
      <c r="L75" s="24">
        <v>0</v>
      </c>
      <c r="M75" s="24">
        <v>0</v>
      </c>
      <c r="N75" s="24">
        <v>0</v>
      </c>
      <c r="O75" s="24">
        <v>0</v>
      </c>
      <c r="P75" s="24">
        <v>0</v>
      </c>
      <c r="Q75" s="24">
        <v>0</v>
      </c>
      <c r="R75" s="24">
        <v>0</v>
      </c>
    </row>
    <row r="76" spans="3:18" x14ac:dyDescent="0.25">
      <c r="C76" s="1" t="s">
        <v>67</v>
      </c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</row>
    <row r="77" spans="3:18" x14ac:dyDescent="0.25">
      <c r="C77" s="3" t="s">
        <v>68</v>
      </c>
      <c r="D77" s="25"/>
      <c r="E77" s="25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</row>
    <row r="78" spans="3:18" x14ac:dyDescent="0.25">
      <c r="C78" s="5" t="s">
        <v>69</v>
      </c>
      <c r="D78" s="24">
        <v>0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4">
        <v>0</v>
      </c>
      <c r="K78" s="24">
        <v>0</v>
      </c>
      <c r="L78" s="24">
        <v>0</v>
      </c>
      <c r="M78" s="24">
        <v>0</v>
      </c>
      <c r="N78" s="24">
        <v>0</v>
      </c>
      <c r="O78" s="24">
        <v>0</v>
      </c>
      <c r="P78" s="24">
        <v>0</v>
      </c>
      <c r="Q78" s="24">
        <v>0</v>
      </c>
      <c r="R78" s="24">
        <v>0</v>
      </c>
    </row>
    <row r="79" spans="3:18" x14ac:dyDescent="0.25">
      <c r="C79" s="5" t="s">
        <v>70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  <c r="O79" s="24">
        <v>0</v>
      </c>
      <c r="P79" s="24">
        <v>0</v>
      </c>
      <c r="Q79" s="24">
        <v>0</v>
      </c>
      <c r="R79" s="24">
        <v>0</v>
      </c>
    </row>
    <row r="80" spans="3:18" x14ac:dyDescent="0.25">
      <c r="C80" s="3" t="s">
        <v>71</v>
      </c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</row>
    <row r="81" spans="3:18" x14ac:dyDescent="0.25">
      <c r="C81" s="5" t="s">
        <v>72</v>
      </c>
      <c r="D81" s="24">
        <v>0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  <c r="O81" s="24">
        <v>0</v>
      </c>
      <c r="P81" s="24">
        <v>0</v>
      </c>
      <c r="Q81" s="24">
        <v>0</v>
      </c>
      <c r="R81" s="24">
        <v>0</v>
      </c>
    </row>
    <row r="82" spans="3:18" x14ac:dyDescent="0.25">
      <c r="C82" s="5" t="s">
        <v>73</v>
      </c>
      <c r="D82" s="24"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v>0</v>
      </c>
      <c r="K82" s="24">
        <v>0</v>
      </c>
      <c r="L82" s="24">
        <v>0</v>
      </c>
      <c r="M82" s="24">
        <v>0</v>
      </c>
      <c r="N82" s="24">
        <v>0</v>
      </c>
      <c r="O82" s="24">
        <v>0</v>
      </c>
      <c r="P82" s="24">
        <v>0</v>
      </c>
      <c r="Q82" s="24">
        <v>0</v>
      </c>
      <c r="R82" s="24">
        <v>0</v>
      </c>
    </row>
    <row r="83" spans="3:18" x14ac:dyDescent="0.25">
      <c r="C83" s="3" t="s">
        <v>74</v>
      </c>
      <c r="D83" s="25">
        <v>0</v>
      </c>
      <c r="E83" s="25">
        <v>0</v>
      </c>
      <c r="F83" s="25">
        <v>0</v>
      </c>
      <c r="G83" s="25">
        <v>0</v>
      </c>
      <c r="H83" s="25">
        <v>0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</row>
    <row r="84" spans="3:18" x14ac:dyDescent="0.25">
      <c r="C84" s="5" t="s">
        <v>75</v>
      </c>
      <c r="D84" s="24">
        <v>0</v>
      </c>
      <c r="E84" s="24">
        <v>0</v>
      </c>
      <c r="F84" s="24">
        <v>0</v>
      </c>
      <c r="G84" s="24">
        <v>0</v>
      </c>
      <c r="H84" s="24">
        <v>0</v>
      </c>
      <c r="I84" s="24">
        <v>0</v>
      </c>
      <c r="J84" s="24">
        <v>0</v>
      </c>
      <c r="K84" s="24">
        <v>0</v>
      </c>
      <c r="L84" s="24">
        <v>0</v>
      </c>
      <c r="M84" s="24">
        <v>0</v>
      </c>
      <c r="N84" s="24">
        <v>0</v>
      </c>
      <c r="O84" s="24">
        <v>0</v>
      </c>
      <c r="P84" s="24">
        <v>0</v>
      </c>
      <c r="Q84" s="24">
        <v>0</v>
      </c>
      <c r="R84" s="24">
        <v>0</v>
      </c>
    </row>
    <row r="85" spans="3:18" x14ac:dyDescent="0.25">
      <c r="C85" s="9" t="s">
        <v>65</v>
      </c>
      <c r="D85" s="27">
        <f>D54+D38+D28+D18+D12</f>
        <v>315213767</v>
      </c>
      <c r="E85" s="27">
        <f>E54+E38+E28+E18+E12</f>
        <v>355513062</v>
      </c>
      <c r="F85" s="27">
        <f t="shared" ref="F85:R85" si="9">F54+F38+F28+F18+F12</f>
        <v>18713727.129999999</v>
      </c>
      <c r="G85" s="27">
        <f t="shared" si="9"/>
        <v>17849471.489999998</v>
      </c>
      <c r="H85" s="27">
        <f>H54+H38+H28+H18+H12</f>
        <v>19563881.91</v>
      </c>
      <c r="I85" s="27">
        <f t="shared" si="9"/>
        <v>31799117.909999996</v>
      </c>
      <c r="J85" s="27">
        <f t="shared" si="9"/>
        <v>21915269.530000001</v>
      </c>
      <c r="K85" s="27">
        <f>K54+K38+K28+K18+K12</f>
        <v>20490201.379999999</v>
      </c>
      <c r="L85" s="27">
        <f t="shared" si="9"/>
        <v>20416599.810000002</v>
      </c>
      <c r="M85" s="27">
        <f t="shared" si="9"/>
        <v>29797480.900000002</v>
      </c>
      <c r="N85" s="27">
        <f>N54+N38+N28+N18+N12</f>
        <v>24872374.890000001</v>
      </c>
      <c r="O85" s="27">
        <f t="shared" si="9"/>
        <v>27400623.259999998</v>
      </c>
      <c r="P85" s="27">
        <f>P54+P38+P28+P18+P12</f>
        <v>47441939.700000003</v>
      </c>
      <c r="Q85" s="27">
        <f t="shared" si="9"/>
        <v>44845461.539999999</v>
      </c>
      <c r="R85" s="27">
        <f t="shared" si="9"/>
        <v>325106149.45000005</v>
      </c>
    </row>
    <row r="86" spans="3:18" x14ac:dyDescent="0.25">
      <c r="L86" s="24"/>
      <c r="R86" s="24"/>
    </row>
    <row r="87" spans="3:18" x14ac:dyDescent="0.25">
      <c r="L87" s="24"/>
      <c r="R87" s="24"/>
    </row>
    <row r="88" spans="3:18" x14ac:dyDescent="0.25">
      <c r="P88" s="24"/>
      <c r="R88" s="24"/>
    </row>
    <row r="91" spans="3:18" ht="13.5" customHeight="1" x14ac:dyDescent="0.3">
      <c r="C91" s="30"/>
      <c r="D91" s="29"/>
      <c r="E91" s="29"/>
      <c r="F91" s="29"/>
      <c r="G91" s="30"/>
      <c r="H91" s="31"/>
      <c r="J91" s="32"/>
      <c r="K91" s="29"/>
    </row>
    <row r="92" spans="3:18" ht="36" customHeight="1" x14ac:dyDescent="0.25"/>
    <row r="93" spans="3:18" ht="18.75" x14ac:dyDescent="0.3">
      <c r="C93" s="30"/>
      <c r="D93" s="30" t="s">
        <v>102</v>
      </c>
      <c r="E93" s="29"/>
      <c r="F93" s="29"/>
      <c r="G93" s="29"/>
      <c r="H93" s="30" t="s">
        <v>103</v>
      </c>
      <c r="J93" s="31"/>
      <c r="L93" s="32"/>
      <c r="M93" s="29"/>
    </row>
    <row r="94" spans="3:18" ht="18.75" x14ac:dyDescent="0.3">
      <c r="C94" s="33"/>
      <c r="D94" s="33" t="s">
        <v>104</v>
      </c>
      <c r="E94" s="31"/>
      <c r="F94" s="29"/>
      <c r="G94" s="29"/>
      <c r="H94" s="33" t="s">
        <v>104</v>
      </c>
      <c r="J94" s="33"/>
      <c r="K94" s="29"/>
      <c r="L94" s="29"/>
      <c r="M94" s="29"/>
    </row>
    <row r="95" spans="3:18" ht="18.75" x14ac:dyDescent="0.3">
      <c r="C95" s="31"/>
      <c r="D95" s="31" t="s">
        <v>105</v>
      </c>
      <c r="E95" s="31"/>
      <c r="F95" s="29"/>
      <c r="G95" s="29"/>
      <c r="H95" s="31" t="s">
        <v>106</v>
      </c>
      <c r="I95" s="56" t="s">
        <v>110</v>
      </c>
      <c r="J95" s="56"/>
      <c r="K95" s="56"/>
      <c r="L95" s="56"/>
      <c r="M95" s="29"/>
    </row>
    <row r="96" spans="3:18" ht="18.75" x14ac:dyDescent="0.3">
      <c r="C96" s="31"/>
      <c r="D96" s="31" t="s">
        <v>107</v>
      </c>
      <c r="E96" s="31"/>
      <c r="F96" s="29"/>
      <c r="G96" s="29"/>
      <c r="H96" s="31" t="s">
        <v>111</v>
      </c>
      <c r="J96" s="31"/>
      <c r="K96" s="29"/>
      <c r="L96" s="29"/>
      <c r="M96" s="29"/>
    </row>
    <row r="97" spans="4:13" ht="18.75" x14ac:dyDescent="0.3">
      <c r="F97" s="29"/>
      <c r="G97" s="29"/>
      <c r="H97" s="29"/>
      <c r="J97" s="29"/>
      <c r="K97" s="29"/>
      <c r="L97" s="29"/>
      <c r="M97" s="29"/>
    </row>
    <row r="98" spans="4:13" ht="18.75" x14ac:dyDescent="0.25">
      <c r="D98" s="31"/>
    </row>
  </sheetData>
  <mergeCells count="10">
    <mergeCell ref="I95:L95"/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11811023622047245" right="0.11811023622047245" top="0.19685039370078741" bottom="0.15748031496062992" header="0.31496062992125984" footer="0.31496062992125984"/>
  <pageSetup paperSize="5"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O90"/>
  <sheetViews>
    <sheetView showGridLines="0" tabSelected="1" zoomScaleNormal="100" workbookViewId="0">
      <selection activeCell="A4" sqref="A4:N4"/>
    </sheetView>
  </sheetViews>
  <sheetFormatPr defaultColWidth="11.42578125" defaultRowHeight="15" x14ac:dyDescent="0.25"/>
  <cols>
    <col min="1" max="1" width="65.5703125" customWidth="1"/>
    <col min="2" max="2" width="13.5703125" customWidth="1"/>
    <col min="3" max="3" width="14.5703125" customWidth="1"/>
    <col min="4" max="5" width="13.5703125" customWidth="1"/>
    <col min="6" max="6" width="14.140625" customWidth="1"/>
    <col min="7" max="7" width="14.28515625" customWidth="1"/>
    <col min="8" max="8" width="14" customWidth="1"/>
    <col min="9" max="9" width="13.85546875" customWidth="1"/>
    <col min="10" max="10" width="14" customWidth="1"/>
    <col min="11" max="11" width="13.28515625" customWidth="1"/>
    <col min="12" max="12" width="14.5703125" customWidth="1"/>
    <col min="13" max="13" width="14.140625" customWidth="1"/>
    <col min="14" max="14" width="14.5703125" customWidth="1"/>
  </cols>
  <sheetData>
    <row r="2" spans="1:15" ht="28.5" customHeight="1" x14ac:dyDescent="0.25">
      <c r="A2" s="60" t="s">
        <v>114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</row>
    <row r="3" spans="1:15" ht="21" customHeight="1" x14ac:dyDescent="0.25">
      <c r="A3" s="62" t="s">
        <v>101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</row>
    <row r="4" spans="1:15" ht="15.75" x14ac:dyDescent="0.25">
      <c r="A4" s="54">
        <v>2023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</row>
    <row r="5" spans="1:15" ht="15.75" customHeight="1" x14ac:dyDescent="0.25">
      <c r="A5" s="49" t="s">
        <v>92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</row>
    <row r="6" spans="1:15" ht="15.75" customHeight="1" x14ac:dyDescent="0.25">
      <c r="A6" s="50" t="s">
        <v>77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</row>
    <row r="8" spans="1:15" ht="37.5" customHeight="1" x14ac:dyDescent="0.25">
      <c r="A8" s="7" t="s">
        <v>66</v>
      </c>
      <c r="B8" s="18" t="s">
        <v>79</v>
      </c>
      <c r="C8" s="18" t="s">
        <v>80</v>
      </c>
      <c r="D8" s="18" t="s">
        <v>81</v>
      </c>
      <c r="E8" s="18" t="s">
        <v>82</v>
      </c>
      <c r="F8" s="19" t="s">
        <v>83</v>
      </c>
      <c r="G8" s="18" t="s">
        <v>84</v>
      </c>
      <c r="H8" s="19" t="s">
        <v>85</v>
      </c>
      <c r="I8" s="18" t="s">
        <v>86</v>
      </c>
      <c r="J8" s="34" t="s">
        <v>87</v>
      </c>
      <c r="K8" s="34" t="s">
        <v>88</v>
      </c>
      <c r="L8" s="34" t="s">
        <v>89</v>
      </c>
      <c r="M8" s="34" t="s">
        <v>90</v>
      </c>
      <c r="N8" s="18" t="s">
        <v>78</v>
      </c>
    </row>
    <row r="9" spans="1:15" x14ac:dyDescent="0.25">
      <c r="A9" s="1" t="s">
        <v>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5" x14ac:dyDescent="0.25">
      <c r="A10" s="3" t="s">
        <v>1</v>
      </c>
      <c r="B10" s="25">
        <f>B11+B12+B15</f>
        <v>14650701.149999999</v>
      </c>
      <c r="C10" s="25">
        <f t="shared" ref="C10:M10" si="0">C11+C12+C15</f>
        <v>14449534.359999999</v>
      </c>
      <c r="D10" s="25">
        <f>D11+D12+D15</f>
        <v>14278573.42</v>
      </c>
      <c r="E10" s="25">
        <f t="shared" si="0"/>
        <v>25352064.809999999</v>
      </c>
      <c r="F10" s="25">
        <f t="shared" si="0"/>
        <v>14652646.32</v>
      </c>
      <c r="G10" s="25">
        <f t="shared" si="0"/>
        <v>14760392.779999999</v>
      </c>
      <c r="H10" s="25">
        <f t="shared" si="0"/>
        <v>15348424.139999999</v>
      </c>
      <c r="I10" s="25">
        <f>I11+I12+I15</f>
        <v>15120824.280000001</v>
      </c>
      <c r="J10" s="25">
        <f t="shared" si="0"/>
        <v>15626903.76</v>
      </c>
      <c r="K10" s="25">
        <f t="shared" si="0"/>
        <v>15141319.140000001</v>
      </c>
      <c r="L10" s="25">
        <f t="shared" si="0"/>
        <v>40731848.289999999</v>
      </c>
      <c r="M10" s="25">
        <f t="shared" si="0"/>
        <v>27858708.460000001</v>
      </c>
      <c r="N10" s="25">
        <f>SUM(B10:M10)</f>
        <v>227971940.91000003</v>
      </c>
    </row>
    <row r="11" spans="1:15" s="37" customFormat="1" ht="17.25" customHeight="1" x14ac:dyDescent="0.2">
      <c r="A11" s="43" t="s">
        <v>2</v>
      </c>
      <c r="B11" s="44">
        <v>12594186.699999999</v>
      </c>
      <c r="C11" s="44">
        <v>12361912.92</v>
      </c>
      <c r="D11" s="44">
        <v>12195008.83</v>
      </c>
      <c r="E11" s="44">
        <v>23219626.129999999</v>
      </c>
      <c r="F11" s="44">
        <v>12450963.42</v>
      </c>
      <c r="G11" s="44">
        <v>12589618.85</v>
      </c>
      <c r="H11" s="44">
        <v>13062816.109999999</v>
      </c>
      <c r="I11" s="44">
        <v>12882718.640000001</v>
      </c>
      <c r="J11" s="44">
        <v>13352477.029999999</v>
      </c>
      <c r="K11" s="44">
        <v>12874063.42</v>
      </c>
      <c r="L11" s="44">
        <v>38456563.960000001</v>
      </c>
      <c r="M11" s="44">
        <v>13389271.26</v>
      </c>
      <c r="N11" s="44">
        <f>SUM(B11:M11)</f>
        <v>189429227.26999998</v>
      </c>
    </row>
    <row r="12" spans="1:15" s="37" customFormat="1" ht="17.25" customHeight="1" x14ac:dyDescent="0.2">
      <c r="A12" s="43" t="s">
        <v>3</v>
      </c>
      <c r="B12" s="44">
        <v>333500</v>
      </c>
      <c r="C12" s="44">
        <v>326500</v>
      </c>
      <c r="D12" s="44">
        <v>333500</v>
      </c>
      <c r="E12" s="44">
        <v>333500</v>
      </c>
      <c r="F12" s="44">
        <v>333500</v>
      </c>
      <c r="G12" s="44">
        <v>333500</v>
      </c>
      <c r="H12" s="44">
        <v>333500</v>
      </c>
      <c r="I12" s="44">
        <v>326500</v>
      </c>
      <c r="J12" s="44">
        <v>333500</v>
      </c>
      <c r="K12" s="44">
        <v>333500</v>
      </c>
      <c r="L12" s="44">
        <v>323500</v>
      </c>
      <c r="M12" s="44">
        <v>12534437.779999999</v>
      </c>
      <c r="N12" s="44">
        <f>SUM(B12:M12)</f>
        <v>16178937.779999999</v>
      </c>
    </row>
    <row r="13" spans="1:15" s="37" customFormat="1" ht="17.25" customHeight="1" x14ac:dyDescent="0.2">
      <c r="A13" s="43" t="s">
        <v>4</v>
      </c>
      <c r="B13" s="44">
        <v>0</v>
      </c>
      <c r="C13" s="44">
        <v>0</v>
      </c>
      <c r="D13" s="44">
        <v>0</v>
      </c>
      <c r="E13" s="44">
        <v>0</v>
      </c>
      <c r="F13" s="44">
        <v>0</v>
      </c>
      <c r="G13" s="44">
        <v>0</v>
      </c>
      <c r="H13" s="44">
        <v>0</v>
      </c>
      <c r="I13" s="44">
        <v>0</v>
      </c>
      <c r="J13" s="44">
        <v>0</v>
      </c>
      <c r="K13" s="44">
        <v>0</v>
      </c>
      <c r="L13" s="44">
        <v>0</v>
      </c>
      <c r="M13" s="44">
        <v>0</v>
      </c>
      <c r="N13" s="44">
        <v>0</v>
      </c>
      <c r="O13" s="45"/>
    </row>
    <row r="14" spans="1:15" s="37" customFormat="1" ht="17.25" customHeight="1" x14ac:dyDescent="0.2">
      <c r="A14" s="43" t="s">
        <v>5</v>
      </c>
      <c r="B14" s="44">
        <v>0</v>
      </c>
      <c r="C14" s="44">
        <v>0</v>
      </c>
      <c r="D14" s="44">
        <v>0</v>
      </c>
      <c r="E14" s="44">
        <v>0</v>
      </c>
      <c r="F14" s="44">
        <v>0</v>
      </c>
      <c r="G14" s="44">
        <v>0</v>
      </c>
      <c r="H14" s="44">
        <v>0</v>
      </c>
      <c r="I14" s="44">
        <v>0</v>
      </c>
      <c r="J14" s="44">
        <v>0</v>
      </c>
      <c r="K14" s="44">
        <v>0</v>
      </c>
      <c r="L14" s="44">
        <v>0</v>
      </c>
      <c r="M14" s="44">
        <v>0</v>
      </c>
      <c r="N14" s="44">
        <v>0</v>
      </c>
    </row>
    <row r="15" spans="1:15" s="37" customFormat="1" ht="17.25" customHeight="1" x14ac:dyDescent="0.2">
      <c r="A15" s="43" t="s">
        <v>6</v>
      </c>
      <c r="B15" s="44">
        <v>1723014.45</v>
      </c>
      <c r="C15" s="44">
        <v>1761121.44</v>
      </c>
      <c r="D15" s="44">
        <v>1750064.59</v>
      </c>
      <c r="E15" s="44">
        <v>1798938.68</v>
      </c>
      <c r="F15" s="44">
        <v>1868182.9</v>
      </c>
      <c r="G15" s="44">
        <v>1837273.93</v>
      </c>
      <c r="H15" s="44">
        <v>1952108.03</v>
      </c>
      <c r="I15" s="44">
        <v>1911605.64</v>
      </c>
      <c r="J15" s="44">
        <v>1940926.73</v>
      </c>
      <c r="K15" s="44">
        <v>1933755.72</v>
      </c>
      <c r="L15" s="44">
        <v>1951784.33</v>
      </c>
      <c r="M15" s="44">
        <v>1934999.42</v>
      </c>
      <c r="N15" s="44">
        <f>SUM(B15:M15)</f>
        <v>22363775.859999999</v>
      </c>
    </row>
    <row r="16" spans="1:15" ht="17.25" customHeight="1" x14ac:dyDescent="0.25">
      <c r="A16" s="3" t="s">
        <v>7</v>
      </c>
      <c r="B16" s="25">
        <f>B17+B18+B19+B20+B21+B22+B23+B24</f>
        <v>3346878.98</v>
      </c>
      <c r="C16" s="25">
        <f>C17+C18+C19+C20+C21+C22+C23+C24+C25</f>
        <v>3399937.1299999994</v>
      </c>
      <c r="D16" s="25">
        <f>D17+D18+D19+D20+D21+D22+D23+D24</f>
        <v>3778704.9499999997</v>
      </c>
      <c r="E16" s="25">
        <f>E17+E18+E19+E20+E21+E22+E23+E24</f>
        <v>6447053.0999999996</v>
      </c>
      <c r="F16" s="25">
        <f t="shared" ref="F16:K16" si="1">F17+F18+F19+F20+F21+F22+F23+F24+F25</f>
        <v>6265516.1599999992</v>
      </c>
      <c r="G16" s="25">
        <f t="shared" si="1"/>
        <v>5281734.8600000003</v>
      </c>
      <c r="H16" s="25">
        <f t="shared" si="1"/>
        <v>4913524.29</v>
      </c>
      <c r="I16" s="25">
        <f t="shared" si="1"/>
        <v>10424438.930000002</v>
      </c>
      <c r="J16" s="25">
        <f t="shared" si="1"/>
        <v>7006644.0999999996</v>
      </c>
      <c r="K16" s="25">
        <f t="shared" si="1"/>
        <v>11739598.679999998</v>
      </c>
      <c r="L16" s="25">
        <f>L17+L18+L19+L20+L21+L22+L23+L24</f>
        <v>5813287.0899999999</v>
      </c>
      <c r="M16" s="25">
        <f>M17+M18+M19+M20+M21+M22+M23+M24+M25</f>
        <v>11140004.309999999</v>
      </c>
      <c r="N16" s="25">
        <f>N17+N18+N19+N20+N21+N22+N23+N24+N25</f>
        <v>79557322.579999998</v>
      </c>
    </row>
    <row r="17" spans="1:14" s="37" customFormat="1" ht="13.5" customHeight="1" x14ac:dyDescent="0.2">
      <c r="A17" s="43" t="s">
        <v>8</v>
      </c>
      <c r="B17" s="44">
        <v>2320636.34</v>
      </c>
      <c r="C17" s="44">
        <v>2136813.96</v>
      </c>
      <c r="D17" s="44">
        <v>2301715.36</v>
      </c>
      <c r="E17" s="44">
        <v>2103200.3199999998</v>
      </c>
      <c r="F17" s="44">
        <v>2171401.61</v>
      </c>
      <c r="G17" s="44">
        <v>2199476.56</v>
      </c>
      <c r="H17" s="44">
        <v>2237287.71</v>
      </c>
      <c r="I17" s="44">
        <v>2647214.62</v>
      </c>
      <c r="J17" s="44">
        <v>2704962.43</v>
      </c>
      <c r="K17" s="44">
        <v>2684251.4500000002</v>
      </c>
      <c r="L17" s="44">
        <v>2445218.02</v>
      </c>
      <c r="M17" s="44">
        <v>2451753.6</v>
      </c>
      <c r="N17" s="44">
        <f>SUM(B17:M17)</f>
        <v>28403931.98</v>
      </c>
    </row>
    <row r="18" spans="1:14" s="37" customFormat="1" ht="13.5" customHeight="1" x14ac:dyDescent="0.2">
      <c r="A18" s="43" t="s">
        <v>9</v>
      </c>
      <c r="B18" s="44">
        <v>0</v>
      </c>
      <c r="C18" s="44">
        <v>0</v>
      </c>
      <c r="D18" s="44">
        <v>0</v>
      </c>
      <c r="E18" s="44">
        <v>0</v>
      </c>
      <c r="F18" s="44">
        <v>0</v>
      </c>
      <c r="G18" s="44">
        <v>0</v>
      </c>
      <c r="H18" s="44">
        <v>0</v>
      </c>
      <c r="I18" s="44">
        <v>36541.71</v>
      </c>
      <c r="J18" s="44">
        <v>0</v>
      </c>
      <c r="K18" s="44">
        <v>26611.39</v>
      </c>
      <c r="L18" s="44">
        <v>0</v>
      </c>
      <c r="M18" s="44">
        <v>149689.44</v>
      </c>
      <c r="N18" s="44">
        <f t="shared" ref="N18:N23" si="2">SUM(B18:M18)</f>
        <v>212842.54</v>
      </c>
    </row>
    <row r="19" spans="1:14" s="37" customFormat="1" ht="13.5" customHeight="1" x14ac:dyDescent="0.2">
      <c r="A19" s="43" t="s">
        <v>10</v>
      </c>
      <c r="B19" s="44">
        <v>0</v>
      </c>
      <c r="C19" s="44">
        <v>0</v>
      </c>
      <c r="D19" s="44">
        <v>0</v>
      </c>
      <c r="E19" s="44">
        <v>0</v>
      </c>
      <c r="F19" s="44">
        <v>0</v>
      </c>
      <c r="G19" s="44">
        <v>0</v>
      </c>
      <c r="H19" s="44">
        <v>0</v>
      </c>
      <c r="I19" s="44">
        <v>1758495</v>
      </c>
      <c r="J19" s="44">
        <v>0</v>
      </c>
      <c r="K19" s="44">
        <v>1549750</v>
      </c>
      <c r="L19" s="44">
        <v>0</v>
      </c>
      <c r="M19" s="44">
        <v>3534250</v>
      </c>
      <c r="N19" s="44">
        <f t="shared" si="2"/>
        <v>6842495</v>
      </c>
    </row>
    <row r="20" spans="1:14" s="37" customFormat="1" ht="13.5" customHeight="1" x14ac:dyDescent="0.2">
      <c r="A20" s="43" t="s">
        <v>11</v>
      </c>
      <c r="B20" s="44">
        <v>0</v>
      </c>
      <c r="C20" s="44">
        <v>0</v>
      </c>
      <c r="D20" s="44">
        <v>0</v>
      </c>
      <c r="E20" s="44">
        <v>0</v>
      </c>
      <c r="F20" s="44">
        <v>50000</v>
      </c>
      <c r="G20" s="44">
        <v>0</v>
      </c>
      <c r="H20" s="44">
        <v>0</v>
      </c>
      <c r="I20" s="44">
        <v>238324.63</v>
      </c>
      <c r="J20" s="44">
        <v>0</v>
      </c>
      <c r="K20" s="44">
        <v>28288.76</v>
      </c>
      <c r="L20" s="44">
        <v>0</v>
      </c>
      <c r="M20" s="44">
        <v>142493.65</v>
      </c>
      <c r="N20" s="44">
        <f t="shared" si="2"/>
        <v>459107.04000000004</v>
      </c>
    </row>
    <row r="21" spans="1:14" s="37" customFormat="1" ht="13.5" customHeight="1" x14ac:dyDescent="0.2">
      <c r="A21" s="43" t="s">
        <v>12</v>
      </c>
      <c r="B21" s="44">
        <v>0</v>
      </c>
      <c r="C21" s="44">
        <v>323839.96999999997</v>
      </c>
      <c r="D21" s="44">
        <v>151855.04999999999</v>
      </c>
      <c r="E21" s="44">
        <v>3163979.22</v>
      </c>
      <c r="F21" s="44">
        <v>1722283.65</v>
      </c>
      <c r="G21" s="44">
        <v>1213726.22</v>
      </c>
      <c r="H21" s="44">
        <v>1682326.22</v>
      </c>
      <c r="I21" s="44">
        <v>3572602.89</v>
      </c>
      <c r="J21" s="44">
        <v>1275550.72</v>
      </c>
      <c r="K21" s="44">
        <v>2587292.61</v>
      </c>
      <c r="L21" s="44">
        <v>1406418.24</v>
      </c>
      <c r="M21" s="44">
        <v>2590646.38</v>
      </c>
      <c r="N21" s="44">
        <f t="shared" si="2"/>
        <v>19690521.169999998</v>
      </c>
    </row>
    <row r="22" spans="1:14" s="37" customFormat="1" ht="13.5" customHeight="1" x14ac:dyDescent="0.2">
      <c r="A22" s="43" t="s">
        <v>13</v>
      </c>
      <c r="B22" s="44">
        <v>1026242.64</v>
      </c>
      <c r="C22" s="44">
        <v>698548.14</v>
      </c>
      <c r="D22" s="44">
        <v>1325134.54</v>
      </c>
      <c r="E22" s="44">
        <f>530123.12+649750.44</f>
        <v>1179873.56</v>
      </c>
      <c r="F22" s="44">
        <v>1319951.22</v>
      </c>
      <c r="G22" s="44">
        <v>1325827.42</v>
      </c>
      <c r="H22" s="44">
        <v>641188.48</v>
      </c>
      <c r="I22" s="44">
        <v>988271.8</v>
      </c>
      <c r="J22" s="44">
        <v>966601.02</v>
      </c>
      <c r="K22" s="44">
        <v>1749546.87</v>
      </c>
      <c r="L22" s="44">
        <v>991220.23</v>
      </c>
      <c r="M22" s="44">
        <v>611370.61</v>
      </c>
      <c r="N22" s="44">
        <f t="shared" si="2"/>
        <v>12823776.530000001</v>
      </c>
    </row>
    <row r="23" spans="1:14" s="37" customFormat="1" ht="13.5" customHeight="1" x14ac:dyDescent="0.2">
      <c r="A23" s="46" t="s">
        <v>14</v>
      </c>
      <c r="B23" s="44">
        <v>0</v>
      </c>
      <c r="C23" s="44">
        <v>0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  <c r="I23" s="44">
        <v>501749.42</v>
      </c>
      <c r="J23" s="44">
        <v>474714</v>
      </c>
      <c r="K23" s="44">
        <v>2556901.42</v>
      </c>
      <c r="L23" s="44">
        <v>584930.6</v>
      </c>
      <c r="M23" s="44">
        <v>732813.01</v>
      </c>
      <c r="N23" s="44">
        <f t="shared" si="2"/>
        <v>4851108.45</v>
      </c>
    </row>
    <row r="24" spans="1:14" s="37" customFormat="1" ht="13.5" customHeight="1" x14ac:dyDescent="0.2">
      <c r="A24" s="46" t="s">
        <v>15</v>
      </c>
      <c r="B24" s="44">
        <v>0</v>
      </c>
      <c r="C24" s="44">
        <v>131643.53</v>
      </c>
      <c r="D24" s="44">
        <v>0</v>
      </c>
      <c r="E24" s="44">
        <v>0</v>
      </c>
      <c r="F24" s="44">
        <v>696200</v>
      </c>
      <c r="G24" s="44">
        <v>206100</v>
      </c>
      <c r="H24" s="44">
        <v>352721.88</v>
      </c>
      <c r="I24" s="44">
        <v>167993.8</v>
      </c>
      <c r="J24" s="44">
        <v>1375950.94</v>
      </c>
      <c r="K24" s="44">
        <v>187598.12</v>
      </c>
      <c r="L24" s="44">
        <v>385500</v>
      </c>
      <c r="M24" s="44">
        <v>446385.27</v>
      </c>
      <c r="N24" s="44">
        <f>SUM(B24:M24)</f>
        <v>3950093.5400000005</v>
      </c>
    </row>
    <row r="25" spans="1:14" s="37" customFormat="1" ht="13.5" customHeight="1" x14ac:dyDescent="0.2">
      <c r="A25" s="46" t="s">
        <v>16</v>
      </c>
      <c r="B25" s="44">
        <v>0</v>
      </c>
      <c r="C25" s="44">
        <v>109091.53</v>
      </c>
      <c r="D25" s="44">
        <v>0</v>
      </c>
      <c r="E25" s="44">
        <v>0</v>
      </c>
      <c r="F25" s="44">
        <v>305679.68</v>
      </c>
      <c r="G25" s="44">
        <v>336604.66</v>
      </c>
      <c r="H25" s="44">
        <v>0</v>
      </c>
      <c r="I25" s="44">
        <v>513245.06</v>
      </c>
      <c r="J25" s="44">
        <v>208864.99</v>
      </c>
      <c r="K25" s="44">
        <v>369358.06</v>
      </c>
      <c r="L25" s="44">
        <v>0</v>
      </c>
      <c r="M25" s="44">
        <v>480602.35</v>
      </c>
      <c r="N25" s="44">
        <f>SUM(B25:M25)</f>
        <v>2323446.33</v>
      </c>
    </row>
    <row r="26" spans="1:14" s="37" customFormat="1" ht="13.5" customHeight="1" x14ac:dyDescent="0.2">
      <c r="A26" s="46" t="s">
        <v>17</v>
      </c>
      <c r="B26" s="47">
        <f>B27+B28+B29+B30+B31+B32+B33</f>
        <v>716147</v>
      </c>
      <c r="C26" s="47">
        <f>C27+C28+C29+C30+C31+C32+C33</f>
        <v>0</v>
      </c>
      <c r="D26" s="47">
        <f>D27+D28+D29+D30+D31+D32+D33+D35</f>
        <v>1482603.54</v>
      </c>
      <c r="E26" s="47">
        <f>E27+E28+E29+E30+E31+E32+E35</f>
        <v>0</v>
      </c>
      <c r="F26" s="47">
        <f>F27+F28+F29+F30+F31+F32+F33+F35</f>
        <v>896335.05</v>
      </c>
      <c r="G26" s="47">
        <f>G27+G28+G29+G30+G31+G32+G35</f>
        <v>448073.74</v>
      </c>
      <c r="H26" s="47">
        <f t="shared" ref="H26:M26" si="3">H27+H28+H29+H30+H31+H32+H33+H35</f>
        <v>107462</v>
      </c>
      <c r="I26" s="47">
        <f t="shared" si="3"/>
        <v>3769152.17</v>
      </c>
      <c r="J26" s="47">
        <f t="shared" si="3"/>
        <v>1796256.61</v>
      </c>
      <c r="K26" s="47">
        <f>K27+K28+K29+K30+K31+K32+K33+K35</f>
        <v>519705.44000000006</v>
      </c>
      <c r="L26" s="47">
        <f>L27+L28+L29+L30+L31+L32+L33+L35+L34</f>
        <v>896804.32</v>
      </c>
      <c r="M26" s="47">
        <f t="shared" si="3"/>
        <v>4816272.8900000006</v>
      </c>
      <c r="N26" s="47">
        <f>N27+N28+N29+N30+N31+N32+N33+N35+N34</f>
        <v>15448812.760000002</v>
      </c>
    </row>
    <row r="27" spans="1:14" s="37" customFormat="1" ht="13.5" customHeight="1" x14ac:dyDescent="0.2">
      <c r="A27" s="46" t="s">
        <v>18</v>
      </c>
      <c r="B27" s="44">
        <v>0</v>
      </c>
      <c r="C27" s="44">
        <v>0</v>
      </c>
      <c r="D27" s="44">
        <v>6580</v>
      </c>
      <c r="E27" s="44">
        <v>0</v>
      </c>
      <c r="F27" s="44">
        <v>132319.28</v>
      </c>
      <c r="G27" s="44">
        <v>185709.9</v>
      </c>
      <c r="H27" s="44">
        <v>7280</v>
      </c>
      <c r="I27" s="44">
        <v>180590.82</v>
      </c>
      <c r="J27" s="44">
        <v>48577.3</v>
      </c>
      <c r="K27" s="44">
        <v>110567.48</v>
      </c>
      <c r="L27" s="44">
        <v>0</v>
      </c>
      <c r="M27" s="44">
        <v>290114.27</v>
      </c>
      <c r="N27" s="44">
        <f t="shared" ref="N27:N37" si="4">SUM(B27:M27)</f>
        <v>961739.05</v>
      </c>
    </row>
    <row r="28" spans="1:14" s="37" customFormat="1" ht="13.5" customHeight="1" x14ac:dyDescent="0.2">
      <c r="A28" s="46" t="s">
        <v>19</v>
      </c>
      <c r="B28" s="44">
        <v>0</v>
      </c>
      <c r="C28" s="44">
        <v>0</v>
      </c>
      <c r="D28" s="44">
        <v>0</v>
      </c>
      <c r="E28" s="44">
        <v>0</v>
      </c>
      <c r="F28" s="44">
        <v>4099.9799999999996</v>
      </c>
      <c r="G28" s="44">
        <v>103604</v>
      </c>
      <c r="H28" s="44">
        <v>0</v>
      </c>
      <c r="I28" s="44">
        <v>560</v>
      </c>
      <c r="J28" s="44">
        <v>0</v>
      </c>
      <c r="K28" s="44">
        <v>0</v>
      </c>
      <c r="L28" s="44">
        <v>0</v>
      </c>
      <c r="M28" s="44">
        <v>6477.97</v>
      </c>
      <c r="N28" s="44">
        <f t="shared" si="4"/>
        <v>114741.95</v>
      </c>
    </row>
    <row r="29" spans="1:14" s="37" customFormat="1" ht="13.5" customHeight="1" x14ac:dyDescent="0.2">
      <c r="A29" s="46" t="s">
        <v>20</v>
      </c>
      <c r="B29" s="44">
        <v>0</v>
      </c>
      <c r="C29" s="44">
        <v>0</v>
      </c>
      <c r="D29" s="44">
        <v>0</v>
      </c>
      <c r="E29" s="44">
        <v>0</v>
      </c>
      <c r="F29" s="44">
        <v>112570.18</v>
      </c>
      <c r="G29" s="44">
        <v>0</v>
      </c>
      <c r="H29" s="44">
        <v>0</v>
      </c>
      <c r="I29" s="44">
        <v>16291.95</v>
      </c>
      <c r="J29" s="44">
        <v>146346.56</v>
      </c>
      <c r="K29" s="44">
        <v>95652.9</v>
      </c>
      <c r="L29" s="44">
        <v>0</v>
      </c>
      <c r="M29" s="44">
        <v>173414.65</v>
      </c>
      <c r="N29" s="44">
        <f t="shared" si="4"/>
        <v>544276.24</v>
      </c>
    </row>
    <row r="30" spans="1:14" s="37" customFormat="1" ht="13.5" customHeight="1" x14ac:dyDescent="0.2">
      <c r="A30" s="46" t="s">
        <v>21</v>
      </c>
      <c r="B30" s="44">
        <v>0</v>
      </c>
      <c r="C30" s="44">
        <v>0</v>
      </c>
      <c r="D30" s="44">
        <v>0</v>
      </c>
      <c r="E30" s="44">
        <v>0</v>
      </c>
      <c r="F30" s="44">
        <v>0</v>
      </c>
      <c r="G30" s="44">
        <v>0</v>
      </c>
      <c r="H30" s="44">
        <v>0</v>
      </c>
      <c r="I30" s="44">
        <v>0</v>
      </c>
      <c r="J30" s="44">
        <v>0</v>
      </c>
      <c r="K30" s="44">
        <v>0</v>
      </c>
      <c r="L30" s="44">
        <v>0</v>
      </c>
      <c r="M30" s="44">
        <v>0</v>
      </c>
      <c r="N30" s="44">
        <f t="shared" si="4"/>
        <v>0</v>
      </c>
    </row>
    <row r="31" spans="1:14" s="37" customFormat="1" ht="13.5" customHeight="1" x14ac:dyDescent="0.2">
      <c r="A31" s="46" t="s">
        <v>22</v>
      </c>
      <c r="B31" s="44">
        <v>0</v>
      </c>
      <c r="C31" s="44">
        <v>0</v>
      </c>
      <c r="D31" s="44">
        <v>0</v>
      </c>
      <c r="E31" s="44">
        <v>0</v>
      </c>
      <c r="F31" s="44">
        <v>34135.040000000001</v>
      </c>
      <c r="G31" s="44">
        <v>0</v>
      </c>
      <c r="H31" s="44">
        <v>0</v>
      </c>
      <c r="I31" s="44">
        <v>122779.85</v>
      </c>
      <c r="J31" s="44">
        <v>0</v>
      </c>
      <c r="K31" s="44">
        <v>6323.65</v>
      </c>
      <c r="L31" s="44">
        <v>0</v>
      </c>
      <c r="M31" s="44">
        <v>33570.769999999997</v>
      </c>
      <c r="N31" s="44">
        <f t="shared" si="4"/>
        <v>196809.31</v>
      </c>
    </row>
    <row r="32" spans="1:14" s="37" customFormat="1" ht="13.5" customHeight="1" x14ac:dyDescent="0.2">
      <c r="A32" s="46" t="s">
        <v>23</v>
      </c>
      <c r="B32" s="44">
        <v>0</v>
      </c>
      <c r="C32" s="44">
        <v>0</v>
      </c>
      <c r="D32" s="44">
        <v>0</v>
      </c>
      <c r="E32" s="44">
        <v>0</v>
      </c>
      <c r="F32" s="44">
        <v>0</v>
      </c>
      <c r="G32" s="44">
        <v>0</v>
      </c>
      <c r="H32" s="44">
        <v>0</v>
      </c>
      <c r="I32" s="44">
        <v>22550.53</v>
      </c>
      <c r="J32" s="44">
        <v>15515.16</v>
      </c>
      <c r="K32" s="44">
        <v>13163.72</v>
      </c>
      <c r="L32" s="44">
        <v>0</v>
      </c>
      <c r="M32" s="44">
        <v>37705.01</v>
      </c>
      <c r="N32" s="44">
        <f t="shared" si="4"/>
        <v>88934.420000000013</v>
      </c>
    </row>
    <row r="33" spans="1:14" s="37" customFormat="1" ht="13.5" customHeight="1" x14ac:dyDescent="0.2">
      <c r="A33" s="46" t="s">
        <v>24</v>
      </c>
      <c r="B33" s="44">
        <v>716147</v>
      </c>
      <c r="C33" s="44">
        <v>0</v>
      </c>
      <c r="D33" s="44">
        <v>1421500</v>
      </c>
      <c r="E33" s="44">
        <v>0</v>
      </c>
      <c r="F33" s="44">
        <v>400000</v>
      </c>
      <c r="G33" s="44">
        <v>0</v>
      </c>
      <c r="H33" s="44">
        <v>0</v>
      </c>
      <c r="I33" s="44">
        <v>3206368.58</v>
      </c>
      <c r="J33" s="44">
        <v>1405603.82</v>
      </c>
      <c r="K33" s="44">
        <v>80769.649999999994</v>
      </c>
      <c r="L33" s="44">
        <v>857441.6</v>
      </c>
      <c r="M33" s="44">
        <v>3789281.72</v>
      </c>
      <c r="N33" s="44">
        <f t="shared" si="4"/>
        <v>11877112.370000001</v>
      </c>
    </row>
    <row r="34" spans="1:14" s="37" customFormat="1" ht="13.5" customHeight="1" x14ac:dyDescent="0.2">
      <c r="A34" s="46" t="s">
        <v>25</v>
      </c>
      <c r="B34" s="44">
        <v>0</v>
      </c>
      <c r="C34" s="44">
        <v>0</v>
      </c>
      <c r="D34" s="44">
        <v>0</v>
      </c>
      <c r="E34" s="44">
        <v>0</v>
      </c>
      <c r="F34" s="44">
        <v>0</v>
      </c>
      <c r="G34" s="44">
        <v>0</v>
      </c>
      <c r="H34" s="44">
        <v>0</v>
      </c>
      <c r="I34" s="44">
        <v>0</v>
      </c>
      <c r="J34" s="44">
        <v>0</v>
      </c>
      <c r="K34" s="44">
        <v>0</v>
      </c>
      <c r="L34" s="44">
        <v>39362.720000000001</v>
      </c>
      <c r="M34" s="44">
        <v>0</v>
      </c>
      <c r="N34" s="44">
        <f t="shared" si="4"/>
        <v>39362.720000000001</v>
      </c>
    </row>
    <row r="35" spans="1:14" s="37" customFormat="1" ht="13.5" customHeight="1" x14ac:dyDescent="0.2">
      <c r="A35" s="46" t="s">
        <v>26</v>
      </c>
      <c r="B35" s="44">
        <v>0</v>
      </c>
      <c r="C35" s="44">
        <v>0</v>
      </c>
      <c r="D35" s="44">
        <v>54523.54</v>
      </c>
      <c r="E35" s="44">
        <v>0</v>
      </c>
      <c r="F35" s="44">
        <f>173208.57+40002</f>
        <v>213210.57</v>
      </c>
      <c r="G35" s="44">
        <v>158759.84</v>
      </c>
      <c r="H35" s="44">
        <v>100182</v>
      </c>
      <c r="I35" s="44">
        <v>220010.44</v>
      </c>
      <c r="J35" s="44">
        <v>180213.77</v>
      </c>
      <c r="K35" s="44">
        <v>213228.04</v>
      </c>
      <c r="L35" s="44">
        <v>0</v>
      </c>
      <c r="M35" s="44">
        <v>485708.5</v>
      </c>
      <c r="N35" s="44">
        <f t="shared" si="4"/>
        <v>1625836.7</v>
      </c>
    </row>
    <row r="36" spans="1:14" s="37" customFormat="1" ht="13.5" customHeight="1" x14ac:dyDescent="0.2">
      <c r="A36" s="46" t="s">
        <v>27</v>
      </c>
      <c r="B36" s="47">
        <f t="shared" ref="B36:N36" si="5">B37+B38+B39+B40+B41+B42</f>
        <v>0</v>
      </c>
      <c r="C36" s="47">
        <f t="shared" si="5"/>
        <v>0</v>
      </c>
      <c r="D36" s="47">
        <f t="shared" si="5"/>
        <v>24000</v>
      </c>
      <c r="E36" s="47">
        <f t="shared" si="5"/>
        <v>0</v>
      </c>
      <c r="F36" s="47">
        <f t="shared" si="5"/>
        <v>0</v>
      </c>
      <c r="G36" s="47">
        <f t="shared" si="5"/>
        <v>0</v>
      </c>
      <c r="H36" s="47">
        <f t="shared" si="5"/>
        <v>0</v>
      </c>
      <c r="I36" s="47">
        <f t="shared" si="5"/>
        <v>0</v>
      </c>
      <c r="J36" s="47">
        <f t="shared" si="5"/>
        <v>0</v>
      </c>
      <c r="K36" s="47">
        <f t="shared" si="5"/>
        <v>0</v>
      </c>
      <c r="L36" s="47">
        <f t="shared" si="5"/>
        <v>0</v>
      </c>
      <c r="M36" s="47">
        <f t="shared" si="5"/>
        <v>0</v>
      </c>
      <c r="N36" s="47">
        <f t="shared" si="5"/>
        <v>24000</v>
      </c>
    </row>
    <row r="37" spans="1:14" s="37" customFormat="1" ht="13.5" customHeight="1" x14ac:dyDescent="0.2">
      <c r="A37" s="46" t="s">
        <v>28</v>
      </c>
      <c r="B37" s="44">
        <v>0</v>
      </c>
      <c r="C37" s="44">
        <v>0</v>
      </c>
      <c r="D37" s="44">
        <v>24000</v>
      </c>
      <c r="E37" s="44">
        <v>0</v>
      </c>
      <c r="F37" s="44">
        <v>0</v>
      </c>
      <c r="G37" s="44">
        <v>0</v>
      </c>
      <c r="H37" s="44">
        <v>0</v>
      </c>
      <c r="I37" s="44">
        <v>0</v>
      </c>
      <c r="J37" s="44">
        <v>0</v>
      </c>
      <c r="K37" s="44">
        <v>0</v>
      </c>
      <c r="L37" s="44">
        <v>0</v>
      </c>
      <c r="M37" s="44">
        <v>0</v>
      </c>
      <c r="N37" s="44">
        <f t="shared" si="4"/>
        <v>24000</v>
      </c>
    </row>
    <row r="38" spans="1:14" s="37" customFormat="1" ht="13.5" customHeight="1" x14ac:dyDescent="0.2">
      <c r="A38" s="46" t="s">
        <v>29</v>
      </c>
      <c r="B38" s="44">
        <v>0</v>
      </c>
      <c r="C38" s="44">
        <v>0</v>
      </c>
      <c r="D38" s="44">
        <v>0</v>
      </c>
      <c r="E38" s="44">
        <v>0</v>
      </c>
      <c r="F38" s="44">
        <v>0</v>
      </c>
      <c r="G38" s="44">
        <v>0</v>
      </c>
      <c r="H38" s="44">
        <v>0</v>
      </c>
      <c r="I38" s="44">
        <v>0</v>
      </c>
      <c r="J38" s="44">
        <v>0</v>
      </c>
      <c r="K38" s="44">
        <v>0</v>
      </c>
      <c r="L38" s="44">
        <v>0</v>
      </c>
      <c r="M38" s="44">
        <v>0</v>
      </c>
      <c r="N38" s="44">
        <v>0</v>
      </c>
    </row>
    <row r="39" spans="1:14" s="37" customFormat="1" ht="13.5" customHeight="1" x14ac:dyDescent="0.2">
      <c r="A39" s="46" t="s">
        <v>30</v>
      </c>
      <c r="B39" s="44">
        <v>0</v>
      </c>
      <c r="C39" s="44">
        <v>0</v>
      </c>
      <c r="D39" s="44">
        <v>0</v>
      </c>
      <c r="E39" s="44">
        <v>0</v>
      </c>
      <c r="F39" s="44">
        <v>0</v>
      </c>
      <c r="G39" s="44">
        <v>0</v>
      </c>
      <c r="H39" s="44">
        <v>0</v>
      </c>
      <c r="I39" s="44">
        <v>0</v>
      </c>
      <c r="J39" s="44">
        <v>0</v>
      </c>
      <c r="K39" s="44">
        <v>0</v>
      </c>
      <c r="L39" s="44">
        <v>0</v>
      </c>
      <c r="M39" s="44">
        <v>0</v>
      </c>
      <c r="N39" s="44">
        <v>0</v>
      </c>
    </row>
    <row r="40" spans="1:14" s="37" customFormat="1" ht="13.5" customHeight="1" x14ac:dyDescent="0.2">
      <c r="A40" s="46" t="s">
        <v>31</v>
      </c>
      <c r="B40" s="44">
        <v>0</v>
      </c>
      <c r="C40" s="44">
        <v>0</v>
      </c>
      <c r="D40" s="44">
        <v>0</v>
      </c>
      <c r="E40" s="44">
        <v>0</v>
      </c>
      <c r="F40" s="44">
        <v>0</v>
      </c>
      <c r="G40" s="44">
        <v>0</v>
      </c>
      <c r="H40" s="44">
        <v>0</v>
      </c>
      <c r="I40" s="44">
        <v>0</v>
      </c>
      <c r="J40" s="44">
        <v>0</v>
      </c>
      <c r="K40" s="44">
        <v>0</v>
      </c>
      <c r="L40" s="44">
        <v>0</v>
      </c>
      <c r="M40" s="44">
        <v>0</v>
      </c>
      <c r="N40" s="44">
        <v>0</v>
      </c>
    </row>
    <row r="41" spans="1:14" s="37" customFormat="1" ht="13.5" customHeight="1" x14ac:dyDescent="0.2">
      <c r="A41" s="46" t="s">
        <v>32</v>
      </c>
      <c r="B41" s="44">
        <v>0</v>
      </c>
      <c r="C41" s="44">
        <v>0</v>
      </c>
      <c r="D41" s="44">
        <v>0</v>
      </c>
      <c r="E41" s="44">
        <v>0</v>
      </c>
      <c r="F41" s="44">
        <v>0</v>
      </c>
      <c r="G41" s="44">
        <v>0</v>
      </c>
      <c r="H41" s="44">
        <v>0</v>
      </c>
      <c r="I41" s="44">
        <v>0</v>
      </c>
      <c r="J41" s="44">
        <v>0</v>
      </c>
      <c r="K41" s="44">
        <v>0</v>
      </c>
      <c r="L41" s="44">
        <v>0</v>
      </c>
      <c r="M41" s="44">
        <v>0</v>
      </c>
      <c r="N41" s="44">
        <v>0</v>
      </c>
    </row>
    <row r="42" spans="1:14" s="37" customFormat="1" ht="13.5" customHeight="1" x14ac:dyDescent="0.2">
      <c r="A42" s="46" t="s">
        <v>33</v>
      </c>
      <c r="B42" s="44">
        <v>0</v>
      </c>
      <c r="C42" s="44">
        <v>0</v>
      </c>
      <c r="D42" s="44">
        <v>0</v>
      </c>
      <c r="E42" s="44">
        <v>0</v>
      </c>
      <c r="F42" s="44">
        <v>0</v>
      </c>
      <c r="G42" s="44">
        <v>0</v>
      </c>
      <c r="H42" s="44">
        <v>0</v>
      </c>
      <c r="I42" s="44">
        <v>0</v>
      </c>
      <c r="J42" s="44">
        <v>0</v>
      </c>
      <c r="K42" s="44">
        <v>0</v>
      </c>
      <c r="L42" s="44">
        <v>0</v>
      </c>
      <c r="M42" s="44">
        <v>0</v>
      </c>
      <c r="N42" s="44">
        <v>0</v>
      </c>
    </row>
    <row r="43" spans="1:14" s="37" customFormat="1" ht="13.5" customHeight="1" x14ac:dyDescent="0.2">
      <c r="A43" s="46" t="s">
        <v>34</v>
      </c>
      <c r="B43" s="44">
        <v>0</v>
      </c>
      <c r="C43" s="44">
        <v>0</v>
      </c>
      <c r="D43" s="44">
        <v>0</v>
      </c>
      <c r="E43" s="44">
        <v>0</v>
      </c>
      <c r="F43" s="44">
        <v>0</v>
      </c>
      <c r="G43" s="44">
        <v>0</v>
      </c>
      <c r="H43" s="44">
        <v>0</v>
      </c>
      <c r="I43" s="44">
        <v>0</v>
      </c>
      <c r="J43" s="44">
        <v>0</v>
      </c>
      <c r="K43" s="44">
        <v>0</v>
      </c>
      <c r="L43" s="44">
        <v>0</v>
      </c>
      <c r="M43" s="44">
        <v>0</v>
      </c>
      <c r="N43" s="44">
        <v>0</v>
      </c>
    </row>
    <row r="44" spans="1:14" s="37" customFormat="1" ht="13.5" customHeight="1" x14ac:dyDescent="0.2">
      <c r="A44" s="46" t="s">
        <v>35</v>
      </c>
      <c r="B44" s="44">
        <v>0</v>
      </c>
      <c r="C44" s="44">
        <v>0</v>
      </c>
      <c r="D44" s="44">
        <v>0</v>
      </c>
      <c r="E44" s="44">
        <v>0</v>
      </c>
      <c r="F44" s="44">
        <v>0</v>
      </c>
      <c r="G44" s="44">
        <v>0</v>
      </c>
      <c r="H44" s="44">
        <v>0</v>
      </c>
      <c r="I44" s="44">
        <v>0</v>
      </c>
      <c r="J44" s="44">
        <v>0</v>
      </c>
      <c r="K44" s="44">
        <v>0</v>
      </c>
      <c r="L44" s="44">
        <v>0</v>
      </c>
      <c r="M44" s="44">
        <v>0</v>
      </c>
      <c r="N44" s="44">
        <v>0</v>
      </c>
    </row>
    <row r="45" spans="1:14" s="37" customFormat="1" ht="13.5" customHeight="1" x14ac:dyDescent="0.2">
      <c r="A45" s="46" t="s">
        <v>36</v>
      </c>
      <c r="B45" s="47">
        <f t="shared" ref="B45:N45" si="6">B46</f>
        <v>0</v>
      </c>
      <c r="C45" s="47">
        <f t="shared" si="6"/>
        <v>0</v>
      </c>
      <c r="D45" s="47">
        <f t="shared" si="6"/>
        <v>0</v>
      </c>
      <c r="E45" s="47">
        <f t="shared" si="6"/>
        <v>0</v>
      </c>
      <c r="F45" s="47">
        <f t="shared" si="6"/>
        <v>0</v>
      </c>
      <c r="G45" s="47">
        <f t="shared" si="6"/>
        <v>0</v>
      </c>
      <c r="H45" s="47">
        <f t="shared" si="6"/>
        <v>0</v>
      </c>
      <c r="I45" s="47">
        <f t="shared" si="6"/>
        <v>0</v>
      </c>
      <c r="J45" s="47">
        <f t="shared" si="6"/>
        <v>0</v>
      </c>
      <c r="K45" s="47">
        <f t="shared" si="6"/>
        <v>0</v>
      </c>
      <c r="L45" s="47">
        <f t="shared" si="6"/>
        <v>0</v>
      </c>
      <c r="M45" s="47">
        <f t="shared" si="6"/>
        <v>0</v>
      </c>
      <c r="N45" s="47">
        <f t="shared" si="6"/>
        <v>0</v>
      </c>
    </row>
    <row r="46" spans="1:14" s="37" customFormat="1" ht="13.5" customHeight="1" x14ac:dyDescent="0.2">
      <c r="A46" s="46" t="s">
        <v>37</v>
      </c>
      <c r="B46" s="44">
        <v>0</v>
      </c>
      <c r="C46" s="44">
        <v>0</v>
      </c>
      <c r="D46" s="44">
        <v>0</v>
      </c>
      <c r="E46" s="44">
        <v>0</v>
      </c>
      <c r="F46" s="44">
        <v>0</v>
      </c>
      <c r="G46" s="44">
        <v>0</v>
      </c>
      <c r="H46" s="44">
        <v>0</v>
      </c>
      <c r="I46" s="44">
        <v>0</v>
      </c>
      <c r="J46" s="44">
        <v>0</v>
      </c>
      <c r="K46" s="44">
        <v>0</v>
      </c>
      <c r="L46" s="44">
        <v>0</v>
      </c>
      <c r="M46" s="44">
        <v>0</v>
      </c>
      <c r="N46" s="44">
        <v>0</v>
      </c>
    </row>
    <row r="47" spans="1:14" s="37" customFormat="1" ht="13.5" customHeight="1" x14ac:dyDescent="0.2">
      <c r="A47" s="46" t="s">
        <v>38</v>
      </c>
      <c r="B47" s="44">
        <v>0</v>
      </c>
      <c r="C47" s="44">
        <v>0</v>
      </c>
      <c r="D47" s="44">
        <v>0</v>
      </c>
      <c r="E47" s="44">
        <v>0</v>
      </c>
      <c r="F47" s="44">
        <v>0</v>
      </c>
      <c r="G47" s="44">
        <v>0</v>
      </c>
      <c r="H47" s="44">
        <v>0</v>
      </c>
      <c r="I47" s="44">
        <v>0</v>
      </c>
      <c r="J47" s="44">
        <v>0</v>
      </c>
      <c r="K47" s="44">
        <v>0</v>
      </c>
      <c r="L47" s="44">
        <v>0</v>
      </c>
      <c r="M47" s="44">
        <v>0</v>
      </c>
      <c r="N47" s="44">
        <v>0</v>
      </c>
    </row>
    <row r="48" spans="1:14" s="37" customFormat="1" ht="13.5" customHeight="1" x14ac:dyDescent="0.2">
      <c r="A48" s="46" t="s">
        <v>39</v>
      </c>
      <c r="B48" s="44">
        <v>0</v>
      </c>
      <c r="C48" s="44">
        <v>0</v>
      </c>
      <c r="D48" s="44">
        <v>0</v>
      </c>
      <c r="E48" s="44">
        <v>0</v>
      </c>
      <c r="F48" s="44">
        <v>0</v>
      </c>
      <c r="G48" s="44">
        <v>0</v>
      </c>
      <c r="H48" s="44">
        <v>0</v>
      </c>
      <c r="I48" s="44">
        <v>0</v>
      </c>
      <c r="J48" s="44">
        <v>0</v>
      </c>
      <c r="K48" s="44">
        <v>0</v>
      </c>
      <c r="L48" s="44">
        <v>0</v>
      </c>
      <c r="M48" s="44">
        <v>0</v>
      </c>
      <c r="N48" s="44">
        <v>0</v>
      </c>
    </row>
    <row r="49" spans="1:14" s="37" customFormat="1" ht="13.5" customHeight="1" x14ac:dyDescent="0.2">
      <c r="A49" s="46" t="s">
        <v>40</v>
      </c>
      <c r="B49" s="44">
        <v>0</v>
      </c>
      <c r="C49" s="44">
        <v>0</v>
      </c>
      <c r="D49" s="44">
        <v>0</v>
      </c>
      <c r="E49" s="44">
        <v>0</v>
      </c>
      <c r="F49" s="44">
        <v>0</v>
      </c>
      <c r="G49" s="44">
        <v>0</v>
      </c>
      <c r="H49" s="44">
        <v>0</v>
      </c>
      <c r="I49" s="44">
        <v>0</v>
      </c>
      <c r="J49" s="44">
        <v>0</v>
      </c>
      <c r="K49" s="44">
        <v>0</v>
      </c>
      <c r="L49" s="44">
        <v>0</v>
      </c>
      <c r="M49" s="44">
        <v>0</v>
      </c>
      <c r="N49" s="44">
        <v>0</v>
      </c>
    </row>
    <row r="50" spans="1:14" s="37" customFormat="1" ht="13.5" customHeight="1" x14ac:dyDescent="0.2">
      <c r="A50" s="46" t="s">
        <v>41</v>
      </c>
      <c r="B50" s="44">
        <v>0</v>
      </c>
      <c r="C50" s="44">
        <v>0</v>
      </c>
      <c r="D50" s="44">
        <v>0</v>
      </c>
      <c r="E50" s="44">
        <v>0</v>
      </c>
      <c r="F50" s="44">
        <v>0</v>
      </c>
      <c r="G50" s="44">
        <v>0</v>
      </c>
      <c r="H50" s="44">
        <v>0</v>
      </c>
      <c r="I50" s="44">
        <v>0</v>
      </c>
      <c r="J50" s="44">
        <v>0</v>
      </c>
      <c r="K50" s="44">
        <v>0</v>
      </c>
      <c r="L50" s="44">
        <v>0</v>
      </c>
      <c r="M50" s="44">
        <v>0</v>
      </c>
      <c r="N50" s="44">
        <v>0</v>
      </c>
    </row>
    <row r="51" spans="1:14" s="37" customFormat="1" ht="13.5" customHeight="1" x14ac:dyDescent="0.2">
      <c r="A51" s="46" t="s">
        <v>42</v>
      </c>
      <c r="B51" s="44">
        <v>0</v>
      </c>
      <c r="C51" s="44">
        <v>0</v>
      </c>
      <c r="D51" s="44">
        <v>0</v>
      </c>
      <c r="E51" s="44">
        <v>0</v>
      </c>
      <c r="F51" s="44">
        <v>0</v>
      </c>
      <c r="G51" s="44">
        <v>0</v>
      </c>
      <c r="H51" s="44">
        <v>0</v>
      </c>
      <c r="I51" s="44">
        <v>0</v>
      </c>
      <c r="J51" s="44">
        <v>0</v>
      </c>
      <c r="K51" s="44">
        <v>0</v>
      </c>
      <c r="L51" s="44">
        <v>0</v>
      </c>
      <c r="M51" s="44">
        <v>0</v>
      </c>
      <c r="N51" s="44">
        <v>0</v>
      </c>
    </row>
    <row r="52" spans="1:14" s="37" customFormat="1" ht="13.5" customHeight="1" x14ac:dyDescent="0.2">
      <c r="A52" s="46" t="s">
        <v>43</v>
      </c>
      <c r="B52" s="47">
        <f>B53</f>
        <v>0</v>
      </c>
      <c r="C52" s="47">
        <f>C53</f>
        <v>0</v>
      </c>
      <c r="D52" s="47">
        <f>D53</f>
        <v>0</v>
      </c>
      <c r="E52" s="47">
        <f>E53+E57</f>
        <v>0</v>
      </c>
      <c r="F52" s="47">
        <f>F54+F53</f>
        <v>100772</v>
      </c>
      <c r="G52" s="47">
        <f>G54</f>
        <v>0</v>
      </c>
      <c r="H52" s="47">
        <f>H53+H57</f>
        <v>47189.38</v>
      </c>
      <c r="I52" s="47">
        <f>I53+I57</f>
        <v>483065.52</v>
      </c>
      <c r="J52" s="47">
        <f>J53+J57+J61</f>
        <v>442570.42000000004</v>
      </c>
      <c r="K52" s="47">
        <f>K53</f>
        <v>0</v>
      </c>
      <c r="L52" s="47">
        <f>L53</f>
        <v>0</v>
      </c>
      <c r="M52" s="47">
        <f>M53+M54+M57+M58</f>
        <v>1030475.88</v>
      </c>
      <c r="N52" s="47">
        <f>SUM(B52:M52)</f>
        <v>2104073.2000000002</v>
      </c>
    </row>
    <row r="53" spans="1:14" s="37" customFormat="1" ht="13.5" customHeight="1" x14ac:dyDescent="0.2">
      <c r="A53" s="46" t="s">
        <v>44</v>
      </c>
      <c r="B53" s="44">
        <v>0</v>
      </c>
      <c r="C53" s="44">
        <v>0</v>
      </c>
      <c r="D53" s="44">
        <v>0</v>
      </c>
      <c r="E53" s="44">
        <v>0</v>
      </c>
      <c r="F53" s="44">
        <v>100772</v>
      </c>
      <c r="G53" s="44">
        <v>0</v>
      </c>
      <c r="H53" s="44">
        <v>47189.38</v>
      </c>
      <c r="I53" s="44">
        <v>122409.60000000001</v>
      </c>
      <c r="J53" s="44">
        <v>57914.02</v>
      </c>
      <c r="K53" s="44">
        <v>0</v>
      </c>
      <c r="L53" s="44">
        <v>0</v>
      </c>
      <c r="M53" s="44">
        <v>410090.88</v>
      </c>
      <c r="N53" s="44">
        <f>SUM(B53:M53)</f>
        <v>738375.88</v>
      </c>
    </row>
    <row r="54" spans="1:14" s="37" customFormat="1" ht="13.5" customHeight="1" x14ac:dyDescent="0.2">
      <c r="A54" s="46" t="s">
        <v>45</v>
      </c>
      <c r="B54" s="44">
        <v>0</v>
      </c>
      <c r="C54" s="44">
        <v>0</v>
      </c>
      <c r="D54" s="44">
        <v>0</v>
      </c>
      <c r="E54" s="44">
        <v>0</v>
      </c>
      <c r="F54" s="44">
        <v>0</v>
      </c>
      <c r="G54" s="44">
        <v>0</v>
      </c>
      <c r="H54" s="44">
        <v>0</v>
      </c>
      <c r="I54" s="44">
        <v>0</v>
      </c>
      <c r="J54" s="44">
        <v>0</v>
      </c>
      <c r="K54" s="44">
        <v>0</v>
      </c>
      <c r="L54" s="44">
        <v>0</v>
      </c>
      <c r="M54" s="44">
        <v>0</v>
      </c>
      <c r="N54" s="44">
        <f>SUM(B54:M54)</f>
        <v>0</v>
      </c>
    </row>
    <row r="55" spans="1:14" s="37" customFormat="1" ht="13.5" customHeight="1" x14ac:dyDescent="0.2">
      <c r="A55" s="46" t="s">
        <v>46</v>
      </c>
      <c r="B55" s="44">
        <v>0</v>
      </c>
      <c r="C55" s="44">
        <v>0</v>
      </c>
      <c r="D55" s="44">
        <v>0</v>
      </c>
      <c r="E55" s="44">
        <v>0</v>
      </c>
      <c r="F55" s="44">
        <v>0</v>
      </c>
      <c r="G55" s="44">
        <v>0</v>
      </c>
      <c r="H55" s="44">
        <v>0</v>
      </c>
      <c r="I55" s="44">
        <v>0</v>
      </c>
      <c r="J55" s="44">
        <v>0</v>
      </c>
      <c r="K55" s="44">
        <v>0</v>
      </c>
      <c r="L55" s="44">
        <v>0</v>
      </c>
      <c r="M55" s="44">
        <v>0</v>
      </c>
      <c r="N55" s="44">
        <v>0</v>
      </c>
    </row>
    <row r="56" spans="1:14" s="37" customFormat="1" ht="13.5" customHeight="1" x14ac:dyDescent="0.2">
      <c r="A56" s="46" t="s">
        <v>47</v>
      </c>
      <c r="B56" s="44">
        <v>0</v>
      </c>
      <c r="C56" s="44">
        <v>0</v>
      </c>
      <c r="D56" s="44">
        <v>0</v>
      </c>
      <c r="E56" s="44">
        <v>0</v>
      </c>
      <c r="F56" s="44">
        <v>0</v>
      </c>
      <c r="G56" s="44">
        <v>0</v>
      </c>
      <c r="H56" s="44">
        <v>0</v>
      </c>
      <c r="I56" s="44">
        <v>0</v>
      </c>
      <c r="J56" s="44">
        <v>0</v>
      </c>
      <c r="K56" s="44">
        <v>0</v>
      </c>
      <c r="L56" s="44">
        <v>0</v>
      </c>
      <c r="M56" s="44">
        <v>0</v>
      </c>
      <c r="N56" s="44">
        <f>SUM(B56:M56)</f>
        <v>0</v>
      </c>
    </row>
    <row r="57" spans="1:14" s="37" customFormat="1" ht="13.5" customHeight="1" x14ac:dyDescent="0.2">
      <c r="A57" s="46" t="s">
        <v>48</v>
      </c>
      <c r="B57" s="44">
        <v>0</v>
      </c>
      <c r="C57" s="44">
        <v>0</v>
      </c>
      <c r="D57" s="44">
        <v>0</v>
      </c>
      <c r="E57" s="44">
        <v>0</v>
      </c>
      <c r="F57" s="44">
        <v>0</v>
      </c>
      <c r="G57" s="44">
        <v>0</v>
      </c>
      <c r="H57" s="44">
        <v>0</v>
      </c>
      <c r="I57" s="44">
        <v>360655.92</v>
      </c>
      <c r="J57" s="44">
        <v>319898</v>
      </c>
      <c r="K57" s="44">
        <v>0</v>
      </c>
      <c r="L57" s="44">
        <v>0</v>
      </c>
      <c r="M57" s="44">
        <v>567816</v>
      </c>
      <c r="N57" s="44">
        <f>SUM(B57:M57)</f>
        <v>1248369.92</v>
      </c>
    </row>
    <row r="58" spans="1:14" s="37" customFormat="1" ht="13.5" customHeight="1" x14ac:dyDescent="0.2">
      <c r="A58" s="46" t="s">
        <v>49</v>
      </c>
      <c r="B58" s="44">
        <v>0</v>
      </c>
      <c r="C58" s="44">
        <v>0</v>
      </c>
      <c r="D58" s="44">
        <v>0</v>
      </c>
      <c r="E58" s="44">
        <v>0</v>
      </c>
      <c r="F58" s="44">
        <v>0</v>
      </c>
      <c r="G58" s="44">
        <v>0</v>
      </c>
      <c r="H58" s="44">
        <v>0</v>
      </c>
      <c r="I58" s="44">
        <v>0</v>
      </c>
      <c r="J58" s="44">
        <v>0</v>
      </c>
      <c r="K58" s="44">
        <v>0</v>
      </c>
      <c r="L58" s="44">
        <v>0</v>
      </c>
      <c r="M58" s="44">
        <v>52569</v>
      </c>
      <c r="N58" s="44">
        <v>0</v>
      </c>
    </row>
    <row r="59" spans="1:14" s="37" customFormat="1" ht="13.5" customHeight="1" x14ac:dyDescent="0.2">
      <c r="A59" s="46" t="s">
        <v>50</v>
      </c>
      <c r="B59" s="44">
        <v>0</v>
      </c>
      <c r="C59" s="44">
        <v>0</v>
      </c>
      <c r="D59" s="44">
        <v>0</v>
      </c>
      <c r="E59" s="44">
        <v>0</v>
      </c>
      <c r="F59" s="44">
        <v>0</v>
      </c>
      <c r="G59" s="44">
        <v>0</v>
      </c>
      <c r="H59" s="44">
        <v>0</v>
      </c>
      <c r="I59" s="44">
        <v>0</v>
      </c>
      <c r="J59" s="44">
        <v>0</v>
      </c>
      <c r="K59" s="44">
        <v>0</v>
      </c>
      <c r="L59" s="44">
        <v>0</v>
      </c>
      <c r="M59" s="44">
        <v>0</v>
      </c>
      <c r="N59" s="44">
        <v>0</v>
      </c>
    </row>
    <row r="60" spans="1:14" s="37" customFormat="1" ht="13.5" customHeight="1" x14ac:dyDescent="0.2">
      <c r="A60" s="46" t="s">
        <v>51</v>
      </c>
      <c r="B60" s="44">
        <v>0</v>
      </c>
      <c r="C60" s="44">
        <v>0</v>
      </c>
      <c r="D60" s="44">
        <v>0</v>
      </c>
      <c r="E60" s="44">
        <v>0</v>
      </c>
      <c r="F60" s="44">
        <v>0</v>
      </c>
      <c r="G60" s="44">
        <v>0</v>
      </c>
      <c r="H60" s="44">
        <v>0</v>
      </c>
      <c r="I60" s="44">
        <v>0</v>
      </c>
      <c r="J60" s="44">
        <v>0</v>
      </c>
      <c r="K60" s="44">
        <v>0</v>
      </c>
      <c r="L60" s="44">
        <v>0</v>
      </c>
      <c r="M60" s="44">
        <v>0</v>
      </c>
      <c r="N60" s="44">
        <v>0</v>
      </c>
    </row>
    <row r="61" spans="1:14" s="37" customFormat="1" ht="13.5" customHeight="1" x14ac:dyDescent="0.2">
      <c r="A61" s="46" t="s">
        <v>52</v>
      </c>
      <c r="B61" s="44">
        <v>0</v>
      </c>
      <c r="C61" s="44">
        <v>0</v>
      </c>
      <c r="D61" s="44">
        <v>0</v>
      </c>
      <c r="E61" s="44">
        <v>0</v>
      </c>
      <c r="F61" s="44">
        <v>0</v>
      </c>
      <c r="G61" s="44">
        <v>0</v>
      </c>
      <c r="H61" s="44">
        <v>0</v>
      </c>
      <c r="I61" s="44">
        <v>0</v>
      </c>
      <c r="J61" s="44">
        <v>64758.400000000001</v>
      </c>
      <c r="K61" s="44">
        <v>0</v>
      </c>
      <c r="L61" s="44">
        <v>0</v>
      </c>
      <c r="M61" s="44">
        <v>0</v>
      </c>
      <c r="N61" s="44">
        <v>0</v>
      </c>
    </row>
    <row r="62" spans="1:14" s="37" customFormat="1" ht="13.5" customHeight="1" x14ac:dyDescent="0.2">
      <c r="A62" s="46" t="s">
        <v>53</v>
      </c>
      <c r="B62" s="47">
        <f t="shared" ref="B62:N62" si="7">B63</f>
        <v>0</v>
      </c>
      <c r="C62" s="47">
        <f t="shared" si="7"/>
        <v>0</v>
      </c>
      <c r="D62" s="47">
        <f t="shared" si="7"/>
        <v>0</v>
      </c>
      <c r="E62" s="47">
        <f t="shared" si="7"/>
        <v>0</v>
      </c>
      <c r="F62" s="47">
        <f t="shared" si="7"/>
        <v>0</v>
      </c>
      <c r="G62" s="47">
        <f t="shared" si="7"/>
        <v>0</v>
      </c>
      <c r="H62" s="47">
        <f t="shared" si="7"/>
        <v>0</v>
      </c>
      <c r="I62" s="47">
        <f t="shared" si="7"/>
        <v>0</v>
      </c>
      <c r="J62" s="47">
        <f t="shared" si="7"/>
        <v>0</v>
      </c>
      <c r="K62" s="47">
        <f t="shared" si="7"/>
        <v>0</v>
      </c>
      <c r="L62" s="47">
        <f t="shared" si="7"/>
        <v>0</v>
      </c>
      <c r="M62" s="47">
        <f t="shared" si="7"/>
        <v>0</v>
      </c>
      <c r="N62" s="47">
        <f t="shared" si="7"/>
        <v>0</v>
      </c>
    </row>
    <row r="63" spans="1:14" s="37" customFormat="1" ht="13.5" customHeight="1" x14ac:dyDescent="0.2">
      <c r="A63" s="46" t="s">
        <v>54</v>
      </c>
      <c r="B63" s="44">
        <v>0</v>
      </c>
      <c r="C63" s="44">
        <v>0</v>
      </c>
      <c r="D63" s="44">
        <v>0</v>
      </c>
      <c r="E63" s="44">
        <v>0</v>
      </c>
      <c r="F63" s="44">
        <v>0</v>
      </c>
      <c r="G63" s="44">
        <v>0</v>
      </c>
      <c r="H63" s="44">
        <v>0</v>
      </c>
      <c r="I63" s="44">
        <v>0</v>
      </c>
      <c r="J63" s="44">
        <v>0</v>
      </c>
      <c r="K63" s="44">
        <v>0</v>
      </c>
      <c r="L63" s="44">
        <v>0</v>
      </c>
      <c r="M63" s="44">
        <v>0</v>
      </c>
      <c r="N63" s="44">
        <v>0</v>
      </c>
    </row>
    <row r="64" spans="1:14" s="37" customFormat="1" ht="13.5" customHeight="1" x14ac:dyDescent="0.2">
      <c r="A64" s="46" t="s">
        <v>55</v>
      </c>
      <c r="B64" s="44">
        <v>0</v>
      </c>
      <c r="C64" s="44">
        <v>0</v>
      </c>
      <c r="D64" s="44">
        <v>0</v>
      </c>
      <c r="E64" s="44">
        <v>0</v>
      </c>
      <c r="F64" s="44">
        <v>0</v>
      </c>
      <c r="G64" s="44">
        <v>0</v>
      </c>
      <c r="H64" s="44">
        <v>0</v>
      </c>
      <c r="I64" s="44">
        <v>0</v>
      </c>
      <c r="J64" s="44">
        <v>0</v>
      </c>
      <c r="K64" s="44">
        <v>0</v>
      </c>
      <c r="L64" s="44">
        <v>0</v>
      </c>
      <c r="M64" s="44">
        <v>0</v>
      </c>
      <c r="N64" s="44">
        <v>0</v>
      </c>
    </row>
    <row r="65" spans="1:14" s="37" customFormat="1" ht="13.5" customHeight="1" x14ac:dyDescent="0.2">
      <c r="A65" s="46" t="s">
        <v>56</v>
      </c>
      <c r="B65" s="44">
        <v>0</v>
      </c>
      <c r="C65" s="44">
        <v>0</v>
      </c>
      <c r="D65" s="44">
        <v>0</v>
      </c>
      <c r="E65" s="44">
        <v>0</v>
      </c>
      <c r="F65" s="44">
        <v>0</v>
      </c>
      <c r="G65" s="44">
        <v>0</v>
      </c>
      <c r="H65" s="44">
        <v>0</v>
      </c>
      <c r="I65" s="44">
        <v>0</v>
      </c>
      <c r="J65" s="44">
        <v>0</v>
      </c>
      <c r="K65" s="44">
        <v>0</v>
      </c>
      <c r="L65" s="44">
        <v>0</v>
      </c>
      <c r="M65" s="44">
        <v>0</v>
      </c>
      <c r="N65" s="44">
        <v>0</v>
      </c>
    </row>
    <row r="66" spans="1:14" s="37" customFormat="1" ht="13.5" customHeight="1" x14ac:dyDescent="0.2">
      <c r="A66" s="46" t="s">
        <v>57</v>
      </c>
      <c r="B66" s="44">
        <v>0</v>
      </c>
      <c r="C66" s="44">
        <v>0</v>
      </c>
      <c r="D66" s="44">
        <v>0</v>
      </c>
      <c r="E66" s="44">
        <v>0</v>
      </c>
      <c r="F66" s="44">
        <v>0</v>
      </c>
      <c r="G66" s="44">
        <v>0</v>
      </c>
      <c r="H66" s="44">
        <v>0</v>
      </c>
      <c r="I66" s="44">
        <v>0</v>
      </c>
      <c r="J66" s="44">
        <v>0</v>
      </c>
      <c r="K66" s="44">
        <v>0</v>
      </c>
      <c r="L66" s="44">
        <v>0</v>
      </c>
      <c r="M66" s="44">
        <v>0</v>
      </c>
      <c r="N66" s="44">
        <v>0</v>
      </c>
    </row>
    <row r="67" spans="1:14" s="37" customFormat="1" ht="13.5" customHeight="1" x14ac:dyDescent="0.2">
      <c r="A67" s="46" t="s">
        <v>58</v>
      </c>
      <c r="B67" s="47">
        <v>0</v>
      </c>
      <c r="C67" s="47">
        <v>0</v>
      </c>
      <c r="D67" s="47">
        <v>0</v>
      </c>
      <c r="E67" s="47">
        <v>0</v>
      </c>
      <c r="F67" s="47">
        <v>0</v>
      </c>
      <c r="G67" s="47">
        <v>0</v>
      </c>
      <c r="H67" s="47">
        <v>0</v>
      </c>
      <c r="I67" s="47">
        <v>0</v>
      </c>
      <c r="J67" s="47">
        <v>0</v>
      </c>
      <c r="K67" s="47">
        <v>0</v>
      </c>
      <c r="L67" s="47">
        <v>0</v>
      </c>
      <c r="M67" s="47">
        <v>0</v>
      </c>
      <c r="N67" s="47">
        <v>0</v>
      </c>
    </row>
    <row r="68" spans="1:14" s="37" customFormat="1" ht="13.5" customHeight="1" x14ac:dyDescent="0.2">
      <c r="A68" s="46" t="s">
        <v>59</v>
      </c>
      <c r="B68" s="44">
        <v>0</v>
      </c>
      <c r="C68" s="44">
        <v>0</v>
      </c>
      <c r="D68" s="44">
        <v>0</v>
      </c>
      <c r="E68" s="44">
        <v>0</v>
      </c>
      <c r="F68" s="44">
        <v>0</v>
      </c>
      <c r="G68" s="44">
        <v>0</v>
      </c>
      <c r="H68" s="44">
        <v>0</v>
      </c>
      <c r="I68" s="44">
        <v>0</v>
      </c>
      <c r="J68" s="44">
        <v>0</v>
      </c>
      <c r="K68" s="44">
        <v>0</v>
      </c>
      <c r="L68" s="44">
        <v>0</v>
      </c>
      <c r="M68" s="44">
        <v>0</v>
      </c>
      <c r="N68" s="44">
        <v>0</v>
      </c>
    </row>
    <row r="69" spans="1:14" s="37" customFormat="1" ht="13.5" customHeight="1" x14ac:dyDescent="0.2">
      <c r="A69" s="46" t="s">
        <v>60</v>
      </c>
      <c r="B69" s="44">
        <v>0</v>
      </c>
      <c r="C69" s="44">
        <v>0</v>
      </c>
      <c r="D69" s="44">
        <v>0</v>
      </c>
      <c r="E69" s="44">
        <v>0</v>
      </c>
      <c r="F69" s="44">
        <v>0</v>
      </c>
      <c r="G69" s="44">
        <v>0</v>
      </c>
      <c r="H69" s="44">
        <v>0</v>
      </c>
      <c r="I69" s="44">
        <v>0</v>
      </c>
      <c r="J69" s="44">
        <v>0</v>
      </c>
      <c r="K69" s="44">
        <v>0</v>
      </c>
      <c r="L69" s="44">
        <v>0</v>
      </c>
      <c r="M69" s="44">
        <v>0</v>
      </c>
      <c r="N69" s="44">
        <v>0</v>
      </c>
    </row>
    <row r="70" spans="1:14" s="37" customFormat="1" ht="13.5" customHeight="1" x14ac:dyDescent="0.2">
      <c r="A70" s="46" t="s">
        <v>61</v>
      </c>
      <c r="B70" s="47">
        <v>0</v>
      </c>
      <c r="C70" s="47">
        <v>0</v>
      </c>
      <c r="D70" s="47">
        <v>0</v>
      </c>
      <c r="E70" s="47">
        <v>0</v>
      </c>
      <c r="F70" s="47">
        <v>0</v>
      </c>
      <c r="G70" s="47">
        <v>0</v>
      </c>
      <c r="H70" s="47">
        <v>0</v>
      </c>
      <c r="I70" s="47">
        <v>0</v>
      </c>
      <c r="J70" s="47">
        <v>0</v>
      </c>
      <c r="K70" s="47">
        <v>0</v>
      </c>
      <c r="L70" s="47">
        <v>0</v>
      </c>
      <c r="M70" s="47">
        <v>0</v>
      </c>
      <c r="N70" s="47">
        <v>0</v>
      </c>
    </row>
    <row r="71" spans="1:14" s="37" customFormat="1" ht="13.5" customHeight="1" x14ac:dyDescent="0.2">
      <c r="A71" s="46" t="s">
        <v>62</v>
      </c>
      <c r="B71" s="44">
        <v>0</v>
      </c>
      <c r="C71" s="44">
        <v>0</v>
      </c>
      <c r="D71" s="44">
        <v>0</v>
      </c>
      <c r="E71" s="44">
        <v>0</v>
      </c>
      <c r="F71" s="44">
        <v>0</v>
      </c>
      <c r="G71" s="44">
        <v>0</v>
      </c>
      <c r="H71" s="44">
        <v>0</v>
      </c>
      <c r="I71" s="44">
        <v>0</v>
      </c>
      <c r="J71" s="44">
        <v>0</v>
      </c>
      <c r="K71" s="44">
        <v>0</v>
      </c>
      <c r="L71" s="44">
        <v>0</v>
      </c>
      <c r="M71" s="44">
        <v>0</v>
      </c>
      <c r="N71" s="44">
        <v>0</v>
      </c>
    </row>
    <row r="72" spans="1:14" s="37" customFormat="1" ht="13.5" customHeight="1" x14ac:dyDescent="0.2">
      <c r="A72" s="46" t="s">
        <v>63</v>
      </c>
      <c r="B72" s="44">
        <v>0</v>
      </c>
      <c r="C72" s="44">
        <v>0</v>
      </c>
      <c r="D72" s="44">
        <v>0</v>
      </c>
      <c r="E72" s="44">
        <v>0</v>
      </c>
      <c r="F72" s="44">
        <v>0</v>
      </c>
      <c r="G72" s="44">
        <v>0</v>
      </c>
      <c r="H72" s="44">
        <v>0</v>
      </c>
      <c r="I72" s="44">
        <v>0</v>
      </c>
      <c r="J72" s="44">
        <v>0</v>
      </c>
      <c r="K72" s="44">
        <v>0</v>
      </c>
      <c r="L72" s="44">
        <v>0</v>
      </c>
      <c r="M72" s="44">
        <v>0</v>
      </c>
      <c r="N72" s="44">
        <v>0</v>
      </c>
    </row>
    <row r="73" spans="1:14" s="37" customFormat="1" ht="13.5" customHeight="1" x14ac:dyDescent="0.2">
      <c r="A73" s="46" t="s">
        <v>64</v>
      </c>
      <c r="B73" s="44">
        <v>0</v>
      </c>
      <c r="C73" s="44">
        <v>0</v>
      </c>
      <c r="D73" s="44">
        <v>0</v>
      </c>
      <c r="E73" s="44">
        <v>0</v>
      </c>
      <c r="F73" s="44">
        <v>0</v>
      </c>
      <c r="G73" s="44">
        <v>0</v>
      </c>
      <c r="H73" s="44">
        <v>0</v>
      </c>
      <c r="I73" s="44">
        <v>0</v>
      </c>
      <c r="J73" s="44">
        <v>0</v>
      </c>
      <c r="K73" s="44">
        <v>0</v>
      </c>
      <c r="L73" s="44">
        <v>0</v>
      </c>
      <c r="M73" s="44">
        <v>0</v>
      </c>
      <c r="N73" s="44">
        <v>0</v>
      </c>
    </row>
    <row r="74" spans="1:14" s="37" customFormat="1" ht="13.5" customHeight="1" x14ac:dyDescent="0.2">
      <c r="A74" s="46" t="s">
        <v>67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  <c r="H74" s="47">
        <v>0</v>
      </c>
      <c r="I74" s="47">
        <v>0</v>
      </c>
      <c r="J74" s="47">
        <v>0</v>
      </c>
      <c r="K74" s="47">
        <v>0</v>
      </c>
      <c r="L74" s="47">
        <v>0</v>
      </c>
      <c r="M74" s="47">
        <v>0</v>
      </c>
      <c r="N74" s="47">
        <v>0</v>
      </c>
    </row>
    <row r="75" spans="1:14" s="37" customFormat="1" ht="13.5" customHeight="1" x14ac:dyDescent="0.2">
      <c r="A75" s="46" t="s">
        <v>68</v>
      </c>
      <c r="B75" s="47">
        <v>0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  <c r="H75" s="47">
        <v>0</v>
      </c>
      <c r="I75" s="47">
        <v>0</v>
      </c>
      <c r="J75" s="47">
        <v>0</v>
      </c>
      <c r="K75" s="47">
        <v>0</v>
      </c>
      <c r="L75" s="47">
        <v>0</v>
      </c>
      <c r="M75" s="47">
        <v>0</v>
      </c>
      <c r="N75" s="47">
        <v>0</v>
      </c>
    </row>
    <row r="76" spans="1:14" s="37" customFormat="1" ht="13.5" customHeight="1" x14ac:dyDescent="0.2">
      <c r="A76" s="46" t="s">
        <v>69</v>
      </c>
      <c r="B76" s="44">
        <v>0</v>
      </c>
      <c r="C76" s="44">
        <v>0</v>
      </c>
      <c r="D76" s="44">
        <v>0</v>
      </c>
      <c r="E76" s="44">
        <v>0</v>
      </c>
      <c r="F76" s="44">
        <v>0</v>
      </c>
      <c r="G76" s="44">
        <v>0</v>
      </c>
      <c r="H76" s="44">
        <v>0</v>
      </c>
      <c r="I76" s="44">
        <v>0</v>
      </c>
      <c r="J76" s="44">
        <v>0</v>
      </c>
      <c r="K76" s="44">
        <v>0</v>
      </c>
      <c r="L76" s="44">
        <v>0</v>
      </c>
      <c r="M76" s="44">
        <v>0</v>
      </c>
      <c r="N76" s="44">
        <v>0</v>
      </c>
    </row>
    <row r="77" spans="1:14" s="37" customFormat="1" ht="13.5" customHeight="1" x14ac:dyDescent="0.2">
      <c r="A77" s="46" t="s">
        <v>70</v>
      </c>
      <c r="B77" s="44">
        <v>0</v>
      </c>
      <c r="C77" s="44">
        <v>0</v>
      </c>
      <c r="D77" s="44">
        <v>0</v>
      </c>
      <c r="E77" s="44">
        <v>0</v>
      </c>
      <c r="F77" s="44">
        <v>0</v>
      </c>
      <c r="G77" s="44">
        <v>0</v>
      </c>
      <c r="H77" s="44">
        <v>0</v>
      </c>
      <c r="I77" s="44">
        <v>0</v>
      </c>
      <c r="J77" s="44">
        <v>0</v>
      </c>
      <c r="K77" s="44">
        <v>0</v>
      </c>
      <c r="L77" s="44">
        <v>0</v>
      </c>
      <c r="M77" s="44">
        <v>0</v>
      </c>
      <c r="N77" s="44">
        <v>0</v>
      </c>
    </row>
    <row r="78" spans="1:14" s="37" customFormat="1" ht="13.5" customHeight="1" x14ac:dyDescent="0.2">
      <c r="A78" s="46" t="s">
        <v>71</v>
      </c>
      <c r="B78" s="47">
        <v>0</v>
      </c>
      <c r="C78" s="47">
        <v>0</v>
      </c>
      <c r="D78" s="47">
        <v>0</v>
      </c>
      <c r="E78" s="47">
        <v>0</v>
      </c>
      <c r="F78" s="47">
        <v>0</v>
      </c>
      <c r="G78" s="47">
        <v>0</v>
      </c>
      <c r="H78" s="47">
        <v>0</v>
      </c>
      <c r="I78" s="47">
        <v>0</v>
      </c>
      <c r="J78" s="47">
        <v>0</v>
      </c>
      <c r="K78" s="47">
        <v>0</v>
      </c>
      <c r="L78" s="47">
        <v>0</v>
      </c>
      <c r="M78" s="47">
        <v>0</v>
      </c>
      <c r="N78" s="47">
        <v>0</v>
      </c>
    </row>
    <row r="79" spans="1:14" s="37" customFormat="1" ht="13.5" customHeight="1" x14ac:dyDescent="0.2">
      <c r="A79" s="46" t="s">
        <v>72</v>
      </c>
      <c r="B79" s="44">
        <v>0</v>
      </c>
      <c r="C79" s="44">
        <v>0</v>
      </c>
      <c r="D79" s="44">
        <v>0</v>
      </c>
      <c r="E79" s="44">
        <v>0</v>
      </c>
      <c r="F79" s="44">
        <v>0</v>
      </c>
      <c r="G79" s="44">
        <v>0</v>
      </c>
      <c r="H79" s="44">
        <v>0</v>
      </c>
      <c r="I79" s="44">
        <v>0</v>
      </c>
      <c r="J79" s="44">
        <v>0</v>
      </c>
      <c r="K79" s="44">
        <v>0</v>
      </c>
      <c r="L79" s="44">
        <v>0</v>
      </c>
      <c r="M79" s="44">
        <v>0</v>
      </c>
      <c r="N79" s="44">
        <v>0</v>
      </c>
    </row>
    <row r="80" spans="1:14" s="37" customFormat="1" ht="13.5" customHeight="1" x14ac:dyDescent="0.2">
      <c r="A80" s="46" t="s">
        <v>73</v>
      </c>
      <c r="B80" s="44">
        <v>0</v>
      </c>
      <c r="C80" s="44">
        <v>0</v>
      </c>
      <c r="D80" s="44">
        <v>0</v>
      </c>
      <c r="E80" s="44">
        <v>0</v>
      </c>
      <c r="F80" s="44">
        <v>0</v>
      </c>
      <c r="G80" s="44">
        <v>0</v>
      </c>
      <c r="H80" s="44">
        <v>0</v>
      </c>
      <c r="I80" s="44">
        <v>0</v>
      </c>
      <c r="J80" s="44">
        <v>0</v>
      </c>
      <c r="K80" s="44">
        <v>0</v>
      </c>
      <c r="L80" s="44">
        <v>0</v>
      </c>
      <c r="M80" s="44">
        <v>0</v>
      </c>
      <c r="N80" s="44">
        <v>0</v>
      </c>
    </row>
    <row r="81" spans="1:14" s="37" customFormat="1" ht="13.5" customHeight="1" x14ac:dyDescent="0.2">
      <c r="A81" s="46" t="s">
        <v>74</v>
      </c>
      <c r="B81" s="47">
        <v>0</v>
      </c>
      <c r="C81" s="47">
        <v>0</v>
      </c>
      <c r="D81" s="47">
        <v>0</v>
      </c>
      <c r="E81" s="47">
        <v>0</v>
      </c>
      <c r="F81" s="47">
        <v>0</v>
      </c>
      <c r="G81" s="47">
        <v>0</v>
      </c>
      <c r="H81" s="47">
        <v>0</v>
      </c>
      <c r="I81" s="47">
        <v>0</v>
      </c>
      <c r="J81" s="47">
        <v>0</v>
      </c>
      <c r="K81" s="47">
        <v>0</v>
      </c>
      <c r="L81" s="47">
        <v>0</v>
      </c>
      <c r="M81" s="47">
        <v>0</v>
      </c>
      <c r="N81" s="47">
        <v>0</v>
      </c>
    </row>
    <row r="82" spans="1:14" s="37" customFormat="1" ht="13.5" customHeight="1" x14ac:dyDescent="0.2">
      <c r="A82" s="46" t="s">
        <v>75</v>
      </c>
      <c r="B82" s="44">
        <v>0</v>
      </c>
      <c r="C82" s="44">
        <v>0</v>
      </c>
      <c r="D82" s="44">
        <v>0</v>
      </c>
      <c r="E82" s="44">
        <v>0</v>
      </c>
      <c r="F82" s="44">
        <v>0</v>
      </c>
      <c r="G82" s="44">
        <v>0</v>
      </c>
      <c r="H82" s="44">
        <v>0</v>
      </c>
      <c r="I82" s="44">
        <v>0</v>
      </c>
      <c r="J82" s="44">
        <v>0</v>
      </c>
      <c r="K82" s="44">
        <v>0</v>
      </c>
      <c r="L82" s="44">
        <v>0</v>
      </c>
      <c r="M82" s="44">
        <v>0</v>
      </c>
      <c r="N82" s="44">
        <v>0</v>
      </c>
    </row>
    <row r="83" spans="1:14" s="37" customFormat="1" ht="19.5" customHeight="1" x14ac:dyDescent="0.2">
      <c r="A83" s="35" t="s">
        <v>65</v>
      </c>
      <c r="B83" s="36">
        <f>B10+B16+B24+B52+B26</f>
        <v>18713727.129999999</v>
      </c>
      <c r="C83" s="36">
        <f>C52+C16+C10+C26</f>
        <v>17849471.489999998</v>
      </c>
      <c r="D83" s="36">
        <f>D52+D16+D10+D26+D36</f>
        <v>19563881.91</v>
      </c>
      <c r="E83" s="36">
        <f>E52+E16+E10+E26</f>
        <v>31799117.909999996</v>
      </c>
      <c r="F83" s="36">
        <f>F52+F16+F10+F26</f>
        <v>21915269.530000001</v>
      </c>
      <c r="G83" s="36">
        <f>G52+G16+G10+G26</f>
        <v>20490201.379999999</v>
      </c>
      <c r="H83" s="36">
        <f>H52+H16+H10+H26</f>
        <v>20416599.809999999</v>
      </c>
      <c r="I83" s="36">
        <f>I52+I26+I16+I10</f>
        <v>29797480.900000002</v>
      </c>
      <c r="J83" s="36">
        <f>J52+J16+J10+J26</f>
        <v>24872374.890000001</v>
      </c>
      <c r="K83" s="36">
        <f>K52+K16+K10+K26</f>
        <v>27400623.260000002</v>
      </c>
      <c r="L83" s="36">
        <f>L52+L16+L10+L26</f>
        <v>47441939.699999996</v>
      </c>
      <c r="M83" s="36">
        <f>M10+M16+M52+M26</f>
        <v>44845461.539999999</v>
      </c>
      <c r="N83" s="36">
        <f>N52+N26+N16+N10+N36</f>
        <v>325106149.45000005</v>
      </c>
    </row>
    <row r="84" spans="1:14" ht="2.25" customHeight="1" x14ac:dyDescent="0.25"/>
    <row r="85" spans="1:14" x14ac:dyDescent="0.25">
      <c r="A85" s="65" t="s">
        <v>102</v>
      </c>
      <c r="B85" s="65"/>
      <c r="C85" s="65"/>
      <c r="E85" s="40" t="s">
        <v>103</v>
      </c>
      <c r="G85" s="38"/>
      <c r="I85" s="42"/>
    </row>
    <row r="86" spans="1:14" ht="36" customHeight="1" x14ac:dyDescent="0.3">
      <c r="A86" s="33"/>
      <c r="B86" s="31" t="s">
        <v>113</v>
      </c>
      <c r="C86" s="29"/>
      <c r="D86" s="29"/>
      <c r="E86" s="33"/>
      <c r="F86" t="s">
        <v>112</v>
      </c>
      <c r="G86" s="41"/>
      <c r="I86" s="29"/>
      <c r="J86" s="29"/>
    </row>
    <row r="87" spans="1:14" ht="10.5" customHeight="1" x14ac:dyDescent="0.25">
      <c r="A87" s="64" t="s">
        <v>105</v>
      </c>
      <c r="B87" s="64"/>
      <c r="C87" s="64"/>
      <c r="E87" s="38" t="s">
        <v>108</v>
      </c>
      <c r="F87" s="39"/>
      <c r="G87" s="39"/>
      <c r="H87" s="39"/>
      <c r="I87" s="39"/>
    </row>
    <row r="88" spans="1:14" x14ac:dyDescent="0.25">
      <c r="A88" s="65" t="s">
        <v>107</v>
      </c>
      <c r="B88" s="65"/>
      <c r="C88" s="65"/>
      <c r="E88" s="40" t="s">
        <v>109</v>
      </c>
      <c r="G88" s="40"/>
    </row>
    <row r="89" spans="1:14" ht="18.75" x14ac:dyDescent="0.3">
      <c r="C89" s="29"/>
      <c r="D89" s="29"/>
      <c r="E89" s="29"/>
      <c r="G89" s="29"/>
      <c r="H89" s="29"/>
      <c r="I89" s="29"/>
      <c r="J89" s="29"/>
    </row>
    <row r="90" spans="1:14" ht="18.75" x14ac:dyDescent="0.25">
      <c r="A90" s="31"/>
    </row>
  </sheetData>
  <mergeCells count="8">
    <mergeCell ref="A2:N2"/>
    <mergeCell ref="A87:C87"/>
    <mergeCell ref="A88:C88"/>
    <mergeCell ref="A85:C85"/>
    <mergeCell ref="A3:N3"/>
    <mergeCell ref="A4:N4"/>
    <mergeCell ref="A5:N5"/>
    <mergeCell ref="A6:N6"/>
  </mergeCells>
  <pageMargins left="0.11811023622047245" right="0.11811023622047245" top="0.15748031496062992" bottom="0.39370078740157483" header="0.31496062992125984" footer="0.31496062992125984"/>
  <pageSetup paperSize="5" scale="70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'P2 Presupuesto Aprobado-Ejec '!Print_Titles</vt:lpstr>
      <vt:lpstr>'P3 Ejecucion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Graciela Reyes Sanchez</cp:lastModifiedBy>
  <cp:lastPrinted>2024-01-04T18:56:38Z</cp:lastPrinted>
  <dcterms:created xsi:type="dcterms:W3CDTF">2021-07-29T18:58:50Z</dcterms:created>
  <dcterms:modified xsi:type="dcterms:W3CDTF">2024-01-04T18:57:48Z</dcterms:modified>
</cp:coreProperties>
</file>