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12807EF0-D197-43F0-B7D8-E7EC35A4AF2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'!$1:$9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3" l="1"/>
  <c r="K26" i="3"/>
  <c r="P59" i="2"/>
  <c r="C53" i="2"/>
  <c r="C17" i="2"/>
  <c r="C27" i="2"/>
  <c r="M18" i="2"/>
  <c r="M36" i="2"/>
  <c r="M34" i="2"/>
  <c r="M33" i="2"/>
  <c r="M32" i="2"/>
  <c r="M30" i="2"/>
  <c r="M28" i="2"/>
  <c r="M26" i="2"/>
  <c r="M25" i="2"/>
  <c r="M24" i="2"/>
  <c r="M23" i="2"/>
  <c r="M22" i="2"/>
  <c r="M21" i="2"/>
  <c r="M19" i="2"/>
  <c r="M16" i="2"/>
  <c r="M12" i="2"/>
  <c r="M27" i="2" l="1"/>
  <c r="M17" i="2"/>
  <c r="E54" i="1"/>
  <c r="J83" i="3"/>
  <c r="J16" i="3"/>
  <c r="J26" i="3"/>
  <c r="J52" i="3"/>
  <c r="L58" i="2"/>
  <c r="L54" i="2"/>
  <c r="L53" i="2" s="1"/>
  <c r="L36" i="2"/>
  <c r="L34" i="2"/>
  <c r="L33" i="2"/>
  <c r="L30" i="2"/>
  <c r="L26" i="2"/>
  <c r="L25" i="2"/>
  <c r="L22" i="2"/>
  <c r="L18" i="2"/>
  <c r="L12" i="2"/>
  <c r="L16" i="2"/>
  <c r="K12" i="2"/>
  <c r="K16" i="2"/>
  <c r="I16" i="3"/>
  <c r="I52" i="3"/>
  <c r="L17" i="2" l="1"/>
  <c r="J12" i="2"/>
  <c r="J11" i="2" s="1"/>
  <c r="I12" i="2"/>
  <c r="K36" i="2"/>
  <c r="K58" i="2"/>
  <c r="K54" i="2"/>
  <c r="K34" i="2"/>
  <c r="K33" i="2"/>
  <c r="K32" i="2"/>
  <c r="K30" i="2"/>
  <c r="K28" i="2"/>
  <c r="K25" i="2"/>
  <c r="K24" i="2"/>
  <c r="K22" i="2"/>
  <c r="K21" i="2"/>
  <c r="K18" i="2"/>
  <c r="D83" i="3"/>
  <c r="D26" i="3"/>
  <c r="J25" i="2" l="1"/>
  <c r="J36" i="2"/>
  <c r="J27" i="2" s="1"/>
  <c r="J18" i="2"/>
  <c r="J17" i="2" s="1"/>
  <c r="F35" i="3"/>
  <c r="H36" i="2"/>
  <c r="G83" i="3" l="1"/>
  <c r="G16" i="3"/>
  <c r="G26" i="3"/>
  <c r="I27" i="2"/>
  <c r="I23" i="2"/>
  <c r="I22" i="2"/>
  <c r="I18" i="2"/>
  <c r="I17" i="2" s="1"/>
  <c r="I16" i="2"/>
  <c r="I11" i="2" s="1"/>
  <c r="N37" i="3"/>
  <c r="F52" i="3"/>
  <c r="F26" i="3"/>
  <c r="F83" i="3" s="1"/>
  <c r="F16" i="3"/>
  <c r="P38" i="2" l="1"/>
  <c r="H53" i="2" l="1"/>
  <c r="H30" i="2"/>
  <c r="H28" i="2"/>
  <c r="H27" i="2" s="1"/>
  <c r="H22" i="2"/>
  <c r="H18" i="2"/>
  <c r="H17" i="2" s="1"/>
  <c r="E83" i="3"/>
  <c r="E16" i="3"/>
  <c r="E22" i="3"/>
  <c r="D16" i="3"/>
  <c r="D10" i="3"/>
  <c r="F27" i="2"/>
  <c r="F22" i="2"/>
  <c r="F18" i="2"/>
  <c r="F12" i="2"/>
  <c r="F16" i="2"/>
  <c r="C16" i="3"/>
  <c r="E18" i="2"/>
  <c r="E17" i="2" s="1"/>
  <c r="E12" i="2"/>
  <c r="E16" i="2"/>
  <c r="D18" i="2"/>
  <c r="D16" i="2"/>
  <c r="D12" i="2"/>
  <c r="D28" i="1"/>
  <c r="D12" i="1"/>
  <c r="M16" i="3"/>
  <c r="M26" i="3"/>
  <c r="M52" i="3"/>
  <c r="O17" i="2"/>
  <c r="L16" i="3"/>
  <c r="P35" i="2"/>
  <c r="P58" i="2"/>
  <c r="P57" i="2"/>
  <c r="P56" i="2"/>
  <c r="H16" i="3" l="1"/>
  <c r="H52" i="3"/>
  <c r="H26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B17" i="2"/>
  <c r="D18" i="1" l="1"/>
  <c r="M10" i="3"/>
  <c r="O53" i="2"/>
  <c r="C37" i="2"/>
  <c r="N54" i="3"/>
  <c r="L26" i="3"/>
  <c r="L52" i="3"/>
  <c r="L10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P55" i="2"/>
  <c r="P54" i="2"/>
  <c r="N53" i="2"/>
  <c r="M53" i="2"/>
  <c r="K53" i="2"/>
  <c r="J53" i="2"/>
  <c r="I53" i="2"/>
  <c r="P30" i="2"/>
  <c r="P36" i="2"/>
  <c r="P34" i="2"/>
  <c r="P33" i="2"/>
  <c r="P32" i="2"/>
  <c r="P31" i="2"/>
  <c r="P29" i="2"/>
  <c r="P28" i="2"/>
  <c r="P26" i="2"/>
  <c r="P24" i="2"/>
  <c r="P21" i="2"/>
  <c r="P20" i="2"/>
  <c r="P19" i="2"/>
  <c r="K17" i="2"/>
  <c r="P25" i="2"/>
  <c r="P23" i="2"/>
  <c r="P22" i="2"/>
  <c r="P18" i="2"/>
  <c r="P16" i="2"/>
  <c r="P13" i="2"/>
  <c r="P12" i="2"/>
  <c r="G53" i="2"/>
  <c r="F53" i="2"/>
  <c r="E53" i="2"/>
  <c r="D53" i="2"/>
  <c r="P37" i="2"/>
  <c r="O37" i="2"/>
  <c r="N37" i="2"/>
  <c r="M37" i="2"/>
  <c r="L37" i="2"/>
  <c r="L84" i="2" s="1"/>
  <c r="K37" i="2"/>
  <c r="J37" i="2"/>
  <c r="I37" i="2"/>
  <c r="H37" i="2"/>
  <c r="G37" i="2"/>
  <c r="F37" i="2"/>
  <c r="E37" i="2"/>
  <c r="D37" i="2"/>
  <c r="O27" i="2"/>
  <c r="N27" i="2"/>
  <c r="L27" i="2"/>
  <c r="K27" i="2"/>
  <c r="G27" i="2"/>
  <c r="E27" i="2"/>
  <c r="D27" i="2"/>
  <c r="N17" i="2"/>
  <c r="G17" i="2"/>
  <c r="F17" i="2"/>
  <c r="D17" i="2"/>
  <c r="P17" i="2" s="1"/>
  <c r="O11" i="2"/>
  <c r="N11" i="2"/>
  <c r="M11" i="2"/>
  <c r="L11" i="2"/>
  <c r="K11" i="2"/>
  <c r="H11" i="2"/>
  <c r="G11" i="2"/>
  <c r="F11" i="2"/>
  <c r="E11" i="2"/>
  <c r="D11" i="2"/>
  <c r="B53" i="2"/>
  <c r="B37" i="2"/>
  <c r="B27" i="2"/>
  <c r="B11" i="2"/>
  <c r="C11" i="2"/>
  <c r="I84" i="2" l="1"/>
  <c r="F84" i="2"/>
  <c r="K83" i="3"/>
  <c r="P11" i="2"/>
  <c r="C83" i="3"/>
  <c r="B83" i="3"/>
  <c r="M83" i="3"/>
  <c r="L83" i="3"/>
  <c r="B84" i="2"/>
  <c r="P53" i="2"/>
  <c r="C84" i="2"/>
  <c r="I83" i="3"/>
  <c r="N26" i="3"/>
  <c r="N10" i="3"/>
  <c r="N16" i="3"/>
  <c r="N52" i="3"/>
  <c r="P27" i="2"/>
  <c r="G84" i="2"/>
  <c r="O84" i="2"/>
  <c r="M84" i="2"/>
  <c r="N84" i="2"/>
  <c r="H84" i="2"/>
  <c r="K84" i="2"/>
  <c r="J84" i="2"/>
  <c r="E84" i="2"/>
  <c r="D84" i="2"/>
  <c r="D54" i="1"/>
  <c r="E38" i="1"/>
  <c r="D38" i="1"/>
  <c r="E28" i="1"/>
  <c r="E18" i="1"/>
  <c r="E12" i="1"/>
  <c r="N83" i="3" l="1"/>
  <c r="E85" i="1"/>
  <c r="D85" i="1"/>
  <c r="P84" i="2"/>
</calcChain>
</file>

<file path=xl/sharedStrings.xml><?xml version="1.0" encoding="utf-8"?>
<sst xmlns="http://schemas.openxmlformats.org/spreadsheetml/2006/main" count="291" uniqueCount="112">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</sst>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0</xdr:row>
      <xdr:rowOff>142876</xdr:rowOff>
    </xdr:from>
    <xdr:to>
      <xdr:col>15</xdr:col>
      <xdr:colOff>1019174</xdr:colOff>
      <xdr:row>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687800" y="333376"/>
          <a:ext cx="2133599" cy="1190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14</xdr:col>
      <xdr:colOff>57152</xdr:colOff>
      <xdr:row>1</xdr:row>
      <xdr:rowOff>85726</xdr:rowOff>
    </xdr:from>
    <xdr:to>
      <xdr:col>15</xdr:col>
      <xdr:colOff>1002037</xdr:colOff>
      <xdr:row>5</xdr:row>
      <xdr:rowOff>57150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7" y="276226"/>
          <a:ext cx="1544960" cy="10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781050</xdr:colOff>
      <xdr:row>0</xdr:row>
      <xdr:rowOff>0</xdr:rowOff>
    </xdr:from>
    <xdr:to>
      <xdr:col>13</xdr:col>
      <xdr:colOff>816610</xdr:colOff>
      <xdr:row>5</xdr:row>
      <xdr:rowOff>43180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3" workbookViewId="0">
      <selection activeCell="E55" sqref="E5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2023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207066153</v>
      </c>
      <c r="F12" s="8"/>
    </row>
    <row r="13" spans="2:16" x14ac:dyDescent="0.25">
      <c r="C13" s="5" t="s">
        <v>2</v>
      </c>
      <c r="D13" s="6">
        <v>162971440</v>
      </c>
      <c r="E13" s="6">
        <v>169529877</v>
      </c>
      <c r="F13" s="8"/>
    </row>
    <row r="14" spans="2:16" x14ac:dyDescent="0.25">
      <c r="C14" s="5" t="s">
        <v>3</v>
      </c>
      <c r="D14" s="6">
        <v>16002000</v>
      </c>
      <c r="E14" s="6">
        <v>14773547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22762729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108400910</v>
      </c>
      <c r="F18" s="8"/>
    </row>
    <row r="19" spans="3:6" x14ac:dyDescent="0.25">
      <c r="C19" s="5" t="s">
        <v>8</v>
      </c>
      <c r="D19" s="6">
        <v>22382750</v>
      </c>
      <c r="E19" s="6">
        <v>28533674</v>
      </c>
      <c r="F19" s="8"/>
    </row>
    <row r="20" spans="3:6" x14ac:dyDescent="0.25">
      <c r="C20" s="5" t="s">
        <v>9</v>
      </c>
      <c r="D20" s="6">
        <v>700000</v>
      </c>
      <c r="E20" s="6">
        <v>548600</v>
      </c>
      <c r="F20" s="8"/>
    </row>
    <row r="21" spans="3:6" x14ac:dyDescent="0.25">
      <c r="C21" s="5" t="s">
        <v>10</v>
      </c>
      <c r="D21" s="6">
        <v>4200000</v>
      </c>
      <c r="E21" s="6">
        <v>5508250</v>
      </c>
      <c r="F21" s="8"/>
    </row>
    <row r="22" spans="3:6" x14ac:dyDescent="0.25">
      <c r="C22" s="5" t="s">
        <v>11</v>
      </c>
      <c r="D22" s="6">
        <v>2720000</v>
      </c>
      <c r="E22" s="6">
        <v>1683175</v>
      </c>
      <c r="F22" s="8"/>
    </row>
    <row r="23" spans="3:6" x14ac:dyDescent="0.25">
      <c r="C23" s="5" t="s">
        <v>12</v>
      </c>
      <c r="D23" s="6">
        <v>20595526</v>
      </c>
      <c r="E23" s="6">
        <v>20515251</v>
      </c>
    </row>
    <row r="24" spans="3:6" x14ac:dyDescent="0.25">
      <c r="C24" s="5" t="s">
        <v>13</v>
      </c>
      <c r="D24" s="6">
        <v>13398400</v>
      </c>
      <c r="E24" s="6">
        <v>12878160</v>
      </c>
    </row>
    <row r="25" spans="3:6" x14ac:dyDescent="0.25">
      <c r="C25" s="5" t="s">
        <v>14</v>
      </c>
      <c r="D25" s="6">
        <v>2156200</v>
      </c>
      <c r="E25" s="6">
        <v>6454920</v>
      </c>
    </row>
    <row r="26" spans="3:6" x14ac:dyDescent="0.25">
      <c r="C26" s="5" t="s">
        <v>15</v>
      </c>
      <c r="D26" s="6">
        <v>25715580</v>
      </c>
      <c r="E26" s="6">
        <v>27837880</v>
      </c>
    </row>
    <row r="27" spans="3:6" x14ac:dyDescent="0.25">
      <c r="C27" s="5" t="s">
        <v>16</v>
      </c>
      <c r="D27" s="6">
        <v>2780000</v>
      </c>
      <c r="E27" s="6">
        <v>4441000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16377704</v>
      </c>
    </row>
    <row r="29" spans="3:6" x14ac:dyDescent="0.25">
      <c r="C29" s="5" t="s">
        <v>18</v>
      </c>
      <c r="D29" s="6">
        <v>5385000</v>
      </c>
      <c r="E29" s="6">
        <v>1053085</v>
      </c>
    </row>
    <row r="30" spans="3:6" x14ac:dyDescent="0.25">
      <c r="C30" s="5" t="s">
        <v>19</v>
      </c>
      <c r="D30" s="6">
        <v>308000</v>
      </c>
      <c r="E30" s="6">
        <v>426815</v>
      </c>
    </row>
    <row r="31" spans="3:6" x14ac:dyDescent="0.25">
      <c r="C31" s="5" t="s">
        <v>20</v>
      </c>
      <c r="D31" s="6">
        <v>675000</v>
      </c>
      <c r="E31" s="6">
        <v>634250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315200</v>
      </c>
    </row>
    <row r="34" spans="3:5" x14ac:dyDescent="0.25">
      <c r="C34" s="5" t="s">
        <v>23</v>
      </c>
      <c r="D34" s="6">
        <v>120000</v>
      </c>
      <c r="E34" s="6">
        <v>110500</v>
      </c>
    </row>
    <row r="35" spans="3:5" x14ac:dyDescent="0.25">
      <c r="C35" s="5" t="s">
        <v>24</v>
      </c>
      <c r="D35" s="6">
        <v>7350000</v>
      </c>
      <c r="E35" s="6">
        <v>10966445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2821409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E55+E58+E59+E56+E62+E60</f>
        <v>3345000</v>
      </c>
    </row>
    <row r="55" spans="3:5" x14ac:dyDescent="0.25">
      <c r="C55" s="5" t="s">
        <v>44</v>
      </c>
      <c r="D55" s="6">
        <v>1965000</v>
      </c>
      <c r="E55" s="6">
        <v>1632102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1482898</v>
      </c>
    </row>
    <row r="60" spans="3:5" x14ac:dyDescent="0.25">
      <c r="C60" s="5" t="s">
        <v>49</v>
      </c>
      <c r="D60" s="6"/>
      <c r="E60" s="6">
        <v>54000</v>
      </c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176000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335213767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35433070866141736" bottom="0.35433070866141736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1"/>
  <sheetViews>
    <sheetView showGridLines="0" tabSelected="1" workbookViewId="0">
      <selection activeCell="H18" sqref="H18"/>
    </sheetView>
  </sheetViews>
  <sheetFormatPr defaultColWidth="11.42578125" defaultRowHeight="15" x14ac:dyDescent="0.25"/>
  <cols>
    <col min="1" max="1" width="68.7109375" customWidth="1"/>
    <col min="2" max="2" width="14.7109375" customWidth="1"/>
    <col min="3" max="3" width="14" customWidth="1"/>
    <col min="4" max="4" width="13.140625" customWidth="1"/>
    <col min="5" max="5" width="13.85546875" customWidth="1"/>
    <col min="6" max="6" width="12.85546875" customWidth="1"/>
    <col min="7" max="7" width="13.28515625" customWidth="1"/>
    <col min="8" max="8" width="13.7109375" customWidth="1"/>
    <col min="9" max="9" width="13" customWidth="1"/>
    <col min="10" max="10" width="12.85546875" customWidth="1"/>
    <col min="11" max="11" width="14.5703125" customWidth="1"/>
    <col min="12" max="12" width="12.85546875" customWidth="1"/>
    <col min="13" max="13" width="14" customWidth="1"/>
    <col min="14" max="14" width="9.42578125" customWidth="1"/>
    <col min="15" max="15" width="9" customWidth="1"/>
    <col min="16" max="16" width="15.5703125" customWidth="1"/>
  </cols>
  <sheetData>
    <row r="2" spans="1:17" ht="28.5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ht="21" customHeight="1" x14ac:dyDescent="0.25">
      <c r="A3" s="51" t="s">
        <v>100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5.25" customHeight="1" x14ac:dyDescent="0.25"/>
    <row r="8" spans="1:17" ht="25.5" customHeight="1" x14ac:dyDescent="0.25">
      <c r="A8" s="40" t="s">
        <v>66</v>
      </c>
      <c r="B8" s="41" t="s">
        <v>94</v>
      </c>
      <c r="C8" s="41" t="s">
        <v>93</v>
      </c>
      <c r="D8" s="46" t="s">
        <v>91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7" x14ac:dyDescent="0.25">
      <c r="A9" s="40"/>
      <c r="B9" s="42"/>
      <c r="C9" s="42"/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25">
        <f>B12+B13+B16</f>
        <v>201090287</v>
      </c>
      <c r="C11" s="25">
        <f>C12+C13+C16</f>
        <v>207066153</v>
      </c>
      <c r="D11" s="25">
        <f t="shared" ref="D11:O11" si="0">D12+D13+D16</f>
        <v>14650701.149999999</v>
      </c>
      <c r="E11" s="25">
        <f t="shared" si="0"/>
        <v>14449534.359999999</v>
      </c>
      <c r="F11" s="25">
        <f t="shared" si="0"/>
        <v>14278573.42</v>
      </c>
      <c r="G11" s="25">
        <f t="shared" si="0"/>
        <v>25352064.809999999</v>
      </c>
      <c r="H11" s="25">
        <f t="shared" si="0"/>
        <v>14652646.32</v>
      </c>
      <c r="I11" s="25">
        <f>I12+I13+I16</f>
        <v>14760392.779999999</v>
      </c>
      <c r="J11" s="25">
        <f>J12+J13+J16</f>
        <v>15348424.140000001</v>
      </c>
      <c r="K11" s="25">
        <f t="shared" si="0"/>
        <v>15120824.280000001</v>
      </c>
      <c r="L11" s="25">
        <f t="shared" si="0"/>
        <v>15626903.76</v>
      </c>
      <c r="M11" s="25">
        <f t="shared" si="0"/>
        <v>15141319.140000001</v>
      </c>
      <c r="N11" s="25">
        <f t="shared" si="0"/>
        <v>0</v>
      </c>
      <c r="O11" s="25">
        <f t="shared" si="0"/>
        <v>0</v>
      </c>
      <c r="P11" s="25">
        <f>SUM(D11:O11)</f>
        <v>159381384.16000003</v>
      </c>
    </row>
    <row r="12" spans="1:17" x14ac:dyDescent="0.25">
      <c r="A12" s="5" t="s">
        <v>2</v>
      </c>
      <c r="B12" s="24">
        <v>162971440</v>
      </c>
      <c r="C12" s="24">
        <v>169529877</v>
      </c>
      <c r="D12" s="24">
        <f>11437160.16+85000+547515+524511.54</f>
        <v>12594186.699999999</v>
      </c>
      <c r="E12" s="24">
        <f>11612230.09+188000+457600+104082.83</f>
        <v>12361912.92</v>
      </c>
      <c r="F12" s="24">
        <f>11595163.42+151500+68500+379845.41</f>
        <v>12195008.83</v>
      </c>
      <c r="G12" s="24">
        <v>23219626.129999999</v>
      </c>
      <c r="H12" s="24">
        <v>12450963.42</v>
      </c>
      <c r="I12" s="24">
        <f>12093363.42+151500+255000+89755.43</f>
        <v>12589618.85</v>
      </c>
      <c r="J12" s="24">
        <f>7008190.73+100000+66912.78+5262972.69+624739.91</f>
        <v>13062816.110000001</v>
      </c>
      <c r="K12" s="24">
        <f>11968063.42+761133.3+46000+107521.92</f>
        <v>12882718.640000001</v>
      </c>
      <c r="L12" s="24">
        <f>12034563.42+270000+161513.61+886400</f>
        <v>13352477.029999999</v>
      </c>
      <c r="M12" s="24">
        <f>11977063.42+897000</f>
        <v>12874063.42</v>
      </c>
      <c r="N12" s="24">
        <v>0</v>
      </c>
      <c r="O12" s="24">
        <v>0</v>
      </c>
      <c r="P12" s="24">
        <f>SUM(D12:O12)</f>
        <v>137583392.04999998</v>
      </c>
    </row>
    <row r="13" spans="1:17" x14ac:dyDescent="0.25">
      <c r="A13" s="5" t="s">
        <v>3</v>
      </c>
      <c r="B13" s="24">
        <v>16002000</v>
      </c>
      <c r="C13" s="24">
        <v>14773547</v>
      </c>
      <c r="D13" s="24">
        <v>333500</v>
      </c>
      <c r="E13" s="24">
        <v>326500</v>
      </c>
      <c r="F13" s="24">
        <v>333500</v>
      </c>
      <c r="G13" s="24">
        <v>333500</v>
      </c>
      <c r="H13" s="24">
        <v>333500</v>
      </c>
      <c r="I13" s="24">
        <v>333500</v>
      </c>
      <c r="J13" s="24">
        <v>333500</v>
      </c>
      <c r="K13" s="24">
        <v>326500</v>
      </c>
      <c r="L13" s="24">
        <v>333500</v>
      </c>
      <c r="M13" s="24">
        <v>333500</v>
      </c>
      <c r="N13" s="24">
        <v>0</v>
      </c>
      <c r="O13" s="24">
        <v>0</v>
      </c>
      <c r="P13" s="24">
        <f>SUM(D13:O13)</f>
        <v>3321000</v>
      </c>
    </row>
    <row r="14" spans="1:17" x14ac:dyDescent="0.25">
      <c r="A14" s="5" t="s">
        <v>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7"/>
    </row>
    <row r="15" spans="1:17" x14ac:dyDescent="0.25">
      <c r="A15" s="5" t="s">
        <v>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x14ac:dyDescent="0.25">
      <c r="A16" s="5" t="s">
        <v>6</v>
      </c>
      <c r="B16" s="24">
        <v>22116847</v>
      </c>
      <c r="C16" s="24">
        <v>22762729</v>
      </c>
      <c r="D16" s="24">
        <f>423326.8+426914.65+52985.16+380548.92+391158.71+48080.21</f>
        <v>1723014.45</v>
      </c>
      <c r="E16" s="24">
        <f>820940.99+837816.32+102364.13</f>
        <v>1761121.44</v>
      </c>
      <c r="F16" s="24">
        <f>814661.6+834013.09+101389.9</f>
        <v>1750064.5899999999</v>
      </c>
      <c r="G16" s="24">
        <v>1798938.68</v>
      </c>
      <c r="H16" s="24">
        <v>1868182.9</v>
      </c>
      <c r="I16" s="24">
        <f>860014.59+869385.29+107874.05</f>
        <v>1837273.93</v>
      </c>
      <c r="J16" s="24">
        <v>1952108.03</v>
      </c>
      <c r="K16" s="24">
        <f>894353.79+903772.99+113478.86</f>
        <v>1911605.6400000001</v>
      </c>
      <c r="L16" s="24">
        <f>907950.08+917388.39+115588.26</f>
        <v>1940926.73</v>
      </c>
      <c r="M16" s="24">
        <f>904624.87+914058.49+115072.36</f>
        <v>1933755.72</v>
      </c>
      <c r="N16" s="24">
        <v>0</v>
      </c>
      <c r="O16" s="24">
        <v>0</v>
      </c>
      <c r="P16" s="24">
        <f t="shared" ref="P16:P26" si="1">SUM(D16:O16)</f>
        <v>18476992.109999999</v>
      </c>
    </row>
    <row r="17" spans="1:16" x14ac:dyDescent="0.25">
      <c r="A17" s="3" t="s">
        <v>7</v>
      </c>
      <c r="B17" s="25">
        <f>B18+B19+B20+B21+B22+B23+B24+B25+B26</f>
        <v>94648456</v>
      </c>
      <c r="C17" s="25">
        <f>C18+C19+C20+C21+C22+C23+C24+C25+C26</f>
        <v>108400910</v>
      </c>
      <c r="D17" s="25">
        <f t="shared" ref="D17:N17" si="2">D18+D19+D20+D21+D22+D23+D24+D25</f>
        <v>3346878.98</v>
      </c>
      <c r="E17" s="25">
        <f>E18+E19+E20+E21+E22+E23+E24+E25+E26</f>
        <v>3399937.1299999994</v>
      </c>
      <c r="F17" s="25">
        <f t="shared" si="2"/>
        <v>3778704.9499999997</v>
      </c>
      <c r="G17" s="25">
        <f t="shared" si="2"/>
        <v>6447053.0999999996</v>
      </c>
      <c r="H17" s="25">
        <f t="shared" ref="H17:M17" si="3">H18+H19+H20+H21+H22+H23+H24+H25+H26</f>
        <v>6265516.1600000001</v>
      </c>
      <c r="I17" s="25">
        <f t="shared" si="3"/>
        <v>5281734.8600000003</v>
      </c>
      <c r="J17" s="25">
        <f t="shared" si="3"/>
        <v>4913524.29</v>
      </c>
      <c r="K17" s="25">
        <f t="shared" si="3"/>
        <v>10424438.930000002</v>
      </c>
      <c r="L17" s="25">
        <f t="shared" si="3"/>
        <v>7006644.0999999996</v>
      </c>
      <c r="M17" s="25">
        <f t="shared" si="3"/>
        <v>11739598.68</v>
      </c>
      <c r="N17" s="25">
        <f t="shared" si="2"/>
        <v>0</v>
      </c>
      <c r="O17" s="25">
        <f>O18+O19+O20+O21+O22+O23+O24+O25+O26</f>
        <v>0</v>
      </c>
      <c r="P17" s="25">
        <f>SUM(D17:O17)</f>
        <v>62604031.18</v>
      </c>
    </row>
    <row r="18" spans="1:16" x14ac:dyDescent="0.25">
      <c r="A18" s="5" t="s">
        <v>8</v>
      </c>
      <c r="B18" s="24">
        <v>22382750</v>
      </c>
      <c r="C18" s="24">
        <v>28533674</v>
      </c>
      <c r="D18" s="24">
        <f>595154.24+277731.45+850178.77+597571.88</f>
        <v>2320636.34</v>
      </c>
      <c r="E18" s="24">
        <f>454347.01+242816.71+759296.66+680353.58</f>
        <v>2136813.96</v>
      </c>
      <c r="F18" s="24">
        <f>516422.87+245320.83+980623.85+559347.81</f>
        <v>2301715.36</v>
      </c>
      <c r="G18" s="24">
        <v>2103200.3199999998</v>
      </c>
      <c r="H18" s="24">
        <f>478675.46+235306.88+882139.77+575279.5</f>
        <v>2171401.6100000003</v>
      </c>
      <c r="I18" s="24">
        <f>452743.95+233843.57+892567.9+620321.14</f>
        <v>2199476.56</v>
      </c>
      <c r="J18" s="24">
        <f>418929.89+248477.89+906607.46+663272.47</f>
        <v>2237287.71</v>
      </c>
      <c r="K18" s="24">
        <f>644642.34+334958.07+918716.57+688897.64+44900+15100</f>
        <v>2647214.62</v>
      </c>
      <c r="L18" s="24">
        <f>751088.12+234871.49+1063659.49+655343.33</f>
        <v>2704962.43</v>
      </c>
      <c r="M18" s="24">
        <f>741350.34+269778.3+1008634.33+646025.48+11888+6575</f>
        <v>2684251.4499999997</v>
      </c>
      <c r="N18" s="24">
        <v>0</v>
      </c>
      <c r="O18" s="24">
        <v>0</v>
      </c>
      <c r="P18" s="24">
        <f t="shared" si="1"/>
        <v>23506960.359999999</v>
      </c>
    </row>
    <row r="19" spans="1:16" x14ac:dyDescent="0.25">
      <c r="A19" s="5" t="s">
        <v>9</v>
      </c>
      <c r="B19" s="24">
        <v>700000</v>
      </c>
      <c r="C19" s="24">
        <v>548600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36541.71</v>
      </c>
      <c r="L19" s="24">
        <v>0</v>
      </c>
      <c r="M19" s="24">
        <f>23101.39+3510</f>
        <v>26611.39</v>
      </c>
      <c r="N19" s="24">
        <v>0</v>
      </c>
      <c r="O19" s="24">
        <v>0</v>
      </c>
      <c r="P19" s="24">
        <f t="shared" si="1"/>
        <v>63153.1</v>
      </c>
    </row>
    <row r="20" spans="1:16" x14ac:dyDescent="0.25">
      <c r="A20" s="5" t="s">
        <v>10</v>
      </c>
      <c r="B20" s="24">
        <v>4200000</v>
      </c>
      <c r="C20" s="24">
        <v>5508250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1758495</v>
      </c>
      <c r="L20" s="24">
        <v>0</v>
      </c>
      <c r="M20" s="24">
        <v>1549750</v>
      </c>
      <c r="N20" s="24">
        <v>0</v>
      </c>
      <c r="O20" s="24">
        <v>0</v>
      </c>
      <c r="P20" s="24">
        <f t="shared" si="1"/>
        <v>3308245</v>
      </c>
    </row>
    <row r="21" spans="1:16" x14ac:dyDescent="0.25">
      <c r="A21" s="5" t="s">
        <v>11</v>
      </c>
      <c r="B21" s="24">
        <v>2720000</v>
      </c>
      <c r="C21" s="24">
        <v>1683175</v>
      </c>
      <c r="D21" s="24">
        <v>0</v>
      </c>
      <c r="E21" s="24">
        <v>0</v>
      </c>
      <c r="F21" s="24">
        <v>0</v>
      </c>
      <c r="G21" s="24">
        <v>0</v>
      </c>
      <c r="H21" s="24">
        <v>50000</v>
      </c>
      <c r="I21" s="24">
        <v>0</v>
      </c>
      <c r="J21" s="24">
        <v>0</v>
      </c>
      <c r="K21" s="24">
        <f>211574.63+20250+6500</f>
        <v>238324.63</v>
      </c>
      <c r="L21" s="24">
        <v>0</v>
      </c>
      <c r="M21" s="24">
        <f>19513.76+7175+1600</f>
        <v>28288.76</v>
      </c>
      <c r="N21" s="24">
        <v>0</v>
      </c>
      <c r="O21" s="24">
        <v>0</v>
      </c>
      <c r="P21" s="24">
        <f t="shared" si="1"/>
        <v>316613.39</v>
      </c>
    </row>
    <row r="22" spans="1:16" x14ac:dyDescent="0.25">
      <c r="A22" s="5" t="s">
        <v>12</v>
      </c>
      <c r="B22" s="24">
        <v>20595526</v>
      </c>
      <c r="C22" s="24">
        <v>20515251</v>
      </c>
      <c r="D22" s="24">
        <v>0</v>
      </c>
      <c r="E22" s="24">
        <v>323839.96999999997</v>
      </c>
      <c r="F22" s="24">
        <f>96190.65+55664.4</f>
        <v>151855.04999999999</v>
      </c>
      <c r="G22" s="24">
        <v>3163979.22</v>
      </c>
      <c r="H22" s="24">
        <f>1547525.65+97350+77408</f>
        <v>1722283.65</v>
      </c>
      <c r="I22" s="24">
        <f>1116376.22+97350</f>
        <v>1213726.22</v>
      </c>
      <c r="J22" s="24">
        <v>1682326.22</v>
      </c>
      <c r="K22" s="24">
        <f>3302955.78+269647.11</f>
        <v>3572602.8899999997</v>
      </c>
      <c r="L22" s="24">
        <f>1177876.22+97674.5</f>
        <v>1275550.72</v>
      </c>
      <c r="M22" s="24">
        <f>2228099.18+99342.43+259851</f>
        <v>2587292.6100000003</v>
      </c>
      <c r="N22" s="24">
        <v>0</v>
      </c>
      <c r="O22" s="24">
        <v>0</v>
      </c>
      <c r="P22" s="24">
        <f t="shared" si="1"/>
        <v>15693456.550000001</v>
      </c>
    </row>
    <row r="23" spans="1:16" x14ac:dyDescent="0.25">
      <c r="A23" s="5" t="s">
        <v>13</v>
      </c>
      <c r="B23" s="24">
        <v>13398400</v>
      </c>
      <c r="C23" s="24">
        <v>12878160</v>
      </c>
      <c r="D23" s="24">
        <v>1026242.64</v>
      </c>
      <c r="E23" s="24">
        <v>698548.14</v>
      </c>
      <c r="F23" s="24">
        <v>1325134.54</v>
      </c>
      <c r="G23" s="24">
        <v>1179873.56</v>
      </c>
      <c r="H23" s="24">
        <v>1319951.22</v>
      </c>
      <c r="I23" s="24">
        <f>266199.7+1059627.72</f>
        <v>1325827.42</v>
      </c>
      <c r="J23" s="24">
        <v>641188.48</v>
      </c>
      <c r="K23" s="24">
        <v>988271.8</v>
      </c>
      <c r="L23" s="24">
        <v>966601.02</v>
      </c>
      <c r="M23" s="24">
        <f>392531.66+1357015.21</f>
        <v>1749546.8699999999</v>
      </c>
      <c r="N23" s="24">
        <v>0</v>
      </c>
      <c r="O23" s="24">
        <v>0</v>
      </c>
      <c r="P23" s="24">
        <f t="shared" si="1"/>
        <v>11221185.689999999</v>
      </c>
    </row>
    <row r="24" spans="1:16" ht="30" x14ac:dyDescent="0.25">
      <c r="A24" s="29" t="s">
        <v>14</v>
      </c>
      <c r="B24" s="24">
        <v>2156200</v>
      </c>
      <c r="C24" s="24">
        <v>6454920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f>301246.82+194012.6+6490</f>
        <v>501749.42000000004</v>
      </c>
      <c r="L24" s="24">
        <v>474714</v>
      </c>
      <c r="M24" s="24">
        <f>494166.3+1497256.62+511434.5+54044</f>
        <v>2556901.42</v>
      </c>
      <c r="N24" s="24">
        <v>0</v>
      </c>
      <c r="O24" s="24">
        <v>0</v>
      </c>
      <c r="P24" s="24">
        <f t="shared" si="1"/>
        <v>3533364.84</v>
      </c>
    </row>
    <row r="25" spans="1:16" x14ac:dyDescent="0.25">
      <c r="A25" s="5" t="s">
        <v>15</v>
      </c>
      <c r="B25" s="24">
        <v>25715580</v>
      </c>
      <c r="C25" s="24">
        <v>27837880</v>
      </c>
      <c r="D25" s="24">
        <v>0</v>
      </c>
      <c r="E25" s="24">
        <v>131643.53</v>
      </c>
      <c r="F25" s="24">
        <v>0</v>
      </c>
      <c r="G25" s="24">
        <v>0</v>
      </c>
      <c r="H25" s="24">
        <v>696200</v>
      </c>
      <c r="I25" s="24">
        <v>206100</v>
      </c>
      <c r="J25" s="24">
        <f>118935.88+53690+55696+124400</f>
        <v>352721.88</v>
      </c>
      <c r="K25" s="24">
        <f>5672.69+13688+66000+25075+57558.11</f>
        <v>167993.8</v>
      </c>
      <c r="L25" s="24">
        <f>32332+1343618.94</f>
        <v>1375950.94</v>
      </c>
      <c r="M25" s="24">
        <f>3387.12+4130+136249+33000+10832</f>
        <v>187598.12</v>
      </c>
      <c r="N25" s="24">
        <v>0</v>
      </c>
      <c r="O25" s="24">
        <v>0</v>
      </c>
      <c r="P25" s="24">
        <f t="shared" si="1"/>
        <v>3118208.2700000005</v>
      </c>
    </row>
    <row r="26" spans="1:16" x14ac:dyDescent="0.25">
      <c r="A26" s="5" t="s">
        <v>16</v>
      </c>
      <c r="B26" s="24">
        <v>2780000</v>
      </c>
      <c r="C26" s="24">
        <v>4441000</v>
      </c>
      <c r="D26" s="24">
        <v>0</v>
      </c>
      <c r="E26" s="24">
        <v>109091.53</v>
      </c>
      <c r="F26" s="24">
        <v>0</v>
      </c>
      <c r="G26" s="24">
        <v>0</v>
      </c>
      <c r="H26" s="24">
        <v>305679.68</v>
      </c>
      <c r="I26" s="24">
        <v>336604.66</v>
      </c>
      <c r="J26" s="24">
        <v>0</v>
      </c>
      <c r="K26" s="24">
        <v>513245.06</v>
      </c>
      <c r="L26" s="24">
        <f>101720.99+107144</f>
        <v>208864.99</v>
      </c>
      <c r="M26" s="24">
        <f>298451.91+70906.15</f>
        <v>369358.05999999994</v>
      </c>
      <c r="N26" s="24">
        <v>0</v>
      </c>
      <c r="O26" s="24">
        <v>0</v>
      </c>
      <c r="P26" s="24">
        <f t="shared" si="1"/>
        <v>1842843.98</v>
      </c>
    </row>
    <row r="27" spans="1:16" x14ac:dyDescent="0.25">
      <c r="A27" s="3" t="s">
        <v>17</v>
      </c>
      <c r="B27" s="25">
        <f>B28+B29+B30+B31+B32+B33+B34+B36</f>
        <v>17410024</v>
      </c>
      <c r="C27" s="25">
        <f>C28+C29+C30+C31+C32+C33+C34+C36</f>
        <v>16377704</v>
      </c>
      <c r="D27" s="25">
        <f t="shared" ref="D27:P27" si="4">D28+D29+D30+D31+D32+D33+D34+D36</f>
        <v>716147</v>
      </c>
      <c r="E27" s="25">
        <f t="shared" si="4"/>
        <v>0</v>
      </c>
      <c r="F27" s="25">
        <f>F28+F29+F30+F31+F32+F33+F34+F36</f>
        <v>1482603.54</v>
      </c>
      <c r="G27" s="25">
        <f t="shared" si="4"/>
        <v>0</v>
      </c>
      <c r="H27" s="25">
        <f>H28+H29+H30+H31+H32+H33+H34+H36</f>
        <v>896335.05</v>
      </c>
      <c r="I27" s="25">
        <f>I28+I29+I30+I31+I32+I33+I34+I36</f>
        <v>448073.74</v>
      </c>
      <c r="J27" s="25">
        <f>J28+J29+J30+J31+J32+J33+J34+J36</f>
        <v>107462</v>
      </c>
      <c r="K27" s="25">
        <f t="shared" si="4"/>
        <v>3769152.1700000004</v>
      </c>
      <c r="L27" s="25">
        <f t="shared" si="4"/>
        <v>1796256.61</v>
      </c>
      <c r="M27" s="25">
        <f>M28+M29+M30+M31+M32+M33+M34+M36</f>
        <v>519705.44000000006</v>
      </c>
      <c r="N27" s="25">
        <f t="shared" si="4"/>
        <v>0</v>
      </c>
      <c r="O27" s="25">
        <f t="shared" si="4"/>
        <v>0</v>
      </c>
      <c r="P27" s="25">
        <f t="shared" si="4"/>
        <v>9735735.5500000007</v>
      </c>
    </row>
    <row r="28" spans="1:16" x14ac:dyDescent="0.25">
      <c r="A28" s="5" t="s">
        <v>18</v>
      </c>
      <c r="B28" s="24">
        <v>5385000</v>
      </c>
      <c r="C28" s="24">
        <v>1053085</v>
      </c>
      <c r="D28" s="24">
        <v>0</v>
      </c>
      <c r="E28" s="24">
        <v>0</v>
      </c>
      <c r="F28" s="24">
        <v>6580</v>
      </c>
      <c r="G28" s="24">
        <v>0</v>
      </c>
      <c r="H28" s="24">
        <f>120076.78+12242.5</f>
        <v>132319.28</v>
      </c>
      <c r="I28" s="24">
        <v>185709.9</v>
      </c>
      <c r="J28" s="24">
        <v>7280</v>
      </c>
      <c r="K28" s="24">
        <f>148599.03+30836.79+1155</f>
        <v>180590.82</v>
      </c>
      <c r="L28" s="24">
        <v>48577.3</v>
      </c>
      <c r="M28" s="24">
        <f>98484.28+12083.2</f>
        <v>110567.48</v>
      </c>
      <c r="N28" s="24">
        <v>0</v>
      </c>
      <c r="O28" s="24">
        <v>0</v>
      </c>
      <c r="P28" s="24">
        <f t="shared" ref="P28:P35" si="5">SUM(D28:O28)</f>
        <v>671624.78</v>
      </c>
    </row>
    <row r="29" spans="1:16" x14ac:dyDescent="0.25">
      <c r="A29" s="5" t="s">
        <v>19</v>
      </c>
      <c r="B29" s="24">
        <v>308000</v>
      </c>
      <c r="C29" s="24">
        <v>426815</v>
      </c>
      <c r="D29" s="24">
        <v>0</v>
      </c>
      <c r="E29" s="24">
        <v>0</v>
      </c>
      <c r="F29" s="24">
        <v>0</v>
      </c>
      <c r="G29" s="24">
        <v>0</v>
      </c>
      <c r="H29" s="24">
        <v>4099.9799999999996</v>
      </c>
      <c r="I29" s="24">
        <v>103604</v>
      </c>
      <c r="J29" s="24">
        <v>0</v>
      </c>
      <c r="K29" s="24">
        <v>560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108263.98</v>
      </c>
    </row>
    <row r="30" spans="1:16" x14ac:dyDescent="0.25">
      <c r="A30" s="5" t="s">
        <v>20</v>
      </c>
      <c r="B30" s="24">
        <v>675000</v>
      </c>
      <c r="C30" s="24">
        <v>634250</v>
      </c>
      <c r="D30" s="24">
        <v>0</v>
      </c>
      <c r="E30" s="24">
        <v>0</v>
      </c>
      <c r="F30" s="24">
        <v>0</v>
      </c>
      <c r="G30" s="24">
        <v>0</v>
      </c>
      <c r="H30" s="24">
        <f>5249.82+73899.86+33420.5</f>
        <v>112570.18</v>
      </c>
      <c r="I30" s="24">
        <v>0</v>
      </c>
      <c r="J30" s="24">
        <v>0</v>
      </c>
      <c r="K30" s="24">
        <f>803.95+13600+1888</f>
        <v>16291.95</v>
      </c>
      <c r="L30" s="24">
        <f>137696.56+8650</f>
        <v>146346.56</v>
      </c>
      <c r="M30" s="24">
        <f>89208+6444.9</f>
        <v>95652.9</v>
      </c>
      <c r="N30" s="24">
        <v>0</v>
      </c>
      <c r="O30" s="24">
        <v>0</v>
      </c>
      <c r="P30" s="24">
        <f t="shared" si="5"/>
        <v>370861.58999999997</v>
      </c>
    </row>
    <row r="31" spans="1:16" x14ac:dyDescent="0.25">
      <c r="A31" s="5" t="s">
        <v>21</v>
      </c>
      <c r="B31" s="24">
        <v>50000</v>
      </c>
      <c r="C31" s="24">
        <v>50000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0</v>
      </c>
    </row>
    <row r="32" spans="1:16" x14ac:dyDescent="0.25">
      <c r="A32" s="5" t="s">
        <v>22</v>
      </c>
      <c r="B32" s="24">
        <v>385000</v>
      </c>
      <c r="C32" s="24">
        <v>315200</v>
      </c>
      <c r="D32" s="24">
        <v>0</v>
      </c>
      <c r="E32" s="24">
        <v>0</v>
      </c>
      <c r="F32" s="24">
        <v>0</v>
      </c>
      <c r="G32" s="24">
        <v>0</v>
      </c>
      <c r="H32" s="24">
        <v>34135.040000000001</v>
      </c>
      <c r="I32" s="24">
        <v>0</v>
      </c>
      <c r="J32" s="24">
        <v>0</v>
      </c>
      <c r="K32" s="24">
        <f>108019.77+14760.08</f>
        <v>122779.85</v>
      </c>
      <c r="L32" s="24">
        <v>0</v>
      </c>
      <c r="M32" s="24">
        <f>639+300+5384.65</f>
        <v>6323.65</v>
      </c>
      <c r="N32" s="24">
        <v>0</v>
      </c>
      <c r="O32" s="24">
        <v>0</v>
      </c>
      <c r="P32" s="24">
        <f t="shared" si="5"/>
        <v>163238.54</v>
      </c>
    </row>
    <row r="33" spans="1:16" x14ac:dyDescent="0.25">
      <c r="A33" s="5" t="s">
        <v>23</v>
      </c>
      <c r="B33" s="24">
        <v>120000</v>
      </c>
      <c r="C33" s="24">
        <v>110500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f>649+300+10280+2055+5749.05+3517.48</f>
        <v>22550.53</v>
      </c>
      <c r="L33" s="24">
        <f>14368.67+1146.49</f>
        <v>15515.16</v>
      </c>
      <c r="M33" s="24">
        <f>1851+5336+5976.72</f>
        <v>13163.720000000001</v>
      </c>
      <c r="N33" s="24">
        <v>0</v>
      </c>
      <c r="O33" s="24">
        <v>0</v>
      </c>
      <c r="P33" s="24">
        <f t="shared" si="5"/>
        <v>51229.41</v>
      </c>
    </row>
    <row r="34" spans="1:16" x14ac:dyDescent="0.25">
      <c r="A34" s="5" t="s">
        <v>24</v>
      </c>
      <c r="B34" s="24">
        <v>7350000</v>
      </c>
      <c r="C34" s="24">
        <v>10966445</v>
      </c>
      <c r="D34" s="24">
        <v>716147</v>
      </c>
      <c r="E34" s="24">
        <v>0</v>
      </c>
      <c r="F34" s="24">
        <v>1421500</v>
      </c>
      <c r="G34" s="24">
        <v>0</v>
      </c>
      <c r="H34" s="24">
        <v>400000</v>
      </c>
      <c r="I34" s="24">
        <v>0</v>
      </c>
      <c r="J34" s="24">
        <v>0</v>
      </c>
      <c r="K34" s="24">
        <f>3067558.4+33240+5440.08+3500+11014.99+5068.75+149+54263.68+26133.68</f>
        <v>3206368.5800000005</v>
      </c>
      <c r="L34" s="24">
        <f>1400000+1886.82+3717</f>
        <v>1405603.82</v>
      </c>
      <c r="M34" s="24">
        <f>70742+3460+293+6274.65</f>
        <v>80769.649999999994</v>
      </c>
      <c r="N34" s="24">
        <v>0</v>
      </c>
      <c r="O34" s="24">
        <v>0</v>
      </c>
      <c r="P34" s="24">
        <f t="shared" si="5"/>
        <v>7230389.0500000007</v>
      </c>
    </row>
    <row r="35" spans="1:16" ht="30" x14ac:dyDescent="0.25">
      <c r="A35" s="29" t="s">
        <v>25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5"/>
        <v>0</v>
      </c>
    </row>
    <row r="36" spans="1:16" x14ac:dyDescent="0.25">
      <c r="A36" s="5" t="s">
        <v>26</v>
      </c>
      <c r="B36" s="24">
        <v>3137024</v>
      </c>
      <c r="C36" s="24">
        <v>2821409</v>
      </c>
      <c r="D36" s="24">
        <v>0</v>
      </c>
      <c r="E36" s="24">
        <v>0</v>
      </c>
      <c r="F36" s="24">
        <v>54523.54</v>
      </c>
      <c r="G36" s="24">
        <v>0</v>
      </c>
      <c r="H36" s="24">
        <f>48132.55+45174.73+59251.29+20650+40002</f>
        <v>213210.57</v>
      </c>
      <c r="I36" s="24">
        <v>158759.84</v>
      </c>
      <c r="J36" s="24">
        <f>28320+46020+25842</f>
        <v>100182</v>
      </c>
      <c r="K36" s="24">
        <f>6864.1+16637.74+3968.75+116457.34+33261.4+3854.99+5917.22+30998.98+2049.92</f>
        <v>220010.44</v>
      </c>
      <c r="L36" s="24">
        <f>44161.5+33819.09+1274.4+708+16437.4+18148.4+25550.39+20282.44+19832.15</f>
        <v>180213.77</v>
      </c>
      <c r="M36" s="24">
        <f>1747.18+14131.25+8292.8+144911.5+3540+20279.81+20325.5</f>
        <v>213228.04</v>
      </c>
      <c r="N36" s="24">
        <v>0</v>
      </c>
      <c r="O36" s="24">
        <v>0</v>
      </c>
      <c r="P36" s="24">
        <f>SUM(D36:O36)</f>
        <v>1140128.2</v>
      </c>
    </row>
    <row r="37" spans="1:16" x14ac:dyDescent="0.25">
      <c r="A37" s="3" t="s">
        <v>27</v>
      </c>
      <c r="B37" s="25">
        <f>B38</f>
        <v>0</v>
      </c>
      <c r="C37" s="25">
        <f>C38</f>
        <v>24000</v>
      </c>
      <c r="D37" s="25">
        <f t="shared" ref="D37:P37" si="6">D38</f>
        <v>0</v>
      </c>
      <c r="E37" s="25">
        <f t="shared" si="6"/>
        <v>0</v>
      </c>
      <c r="F37" s="25">
        <f t="shared" si="6"/>
        <v>24000</v>
      </c>
      <c r="G37" s="25">
        <f t="shared" si="6"/>
        <v>0</v>
      </c>
      <c r="H37" s="25">
        <f t="shared" si="6"/>
        <v>0</v>
      </c>
      <c r="I37" s="25">
        <f t="shared" si="6"/>
        <v>0</v>
      </c>
      <c r="J37" s="25">
        <f t="shared" si="6"/>
        <v>0</v>
      </c>
      <c r="K37" s="25">
        <f t="shared" si="6"/>
        <v>0</v>
      </c>
      <c r="L37" s="25">
        <f t="shared" si="6"/>
        <v>0</v>
      </c>
      <c r="M37" s="25">
        <f t="shared" si="6"/>
        <v>0</v>
      </c>
      <c r="N37" s="25">
        <f t="shared" si="6"/>
        <v>0</v>
      </c>
      <c r="O37" s="25">
        <f t="shared" si="6"/>
        <v>0</v>
      </c>
      <c r="P37" s="25">
        <f t="shared" si="6"/>
        <v>24000</v>
      </c>
    </row>
    <row r="38" spans="1:16" x14ac:dyDescent="0.25">
      <c r="A38" s="29" t="s">
        <v>28</v>
      </c>
      <c r="B38" s="24">
        <v>0</v>
      </c>
      <c r="C38" s="24">
        <v>24000</v>
      </c>
      <c r="D38" s="24">
        <v>0</v>
      </c>
      <c r="E38" s="24">
        <v>0</v>
      </c>
      <c r="F38" s="24">
        <v>24000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f>SUM(D38:O38)</f>
        <v>24000</v>
      </c>
    </row>
    <row r="39" spans="1:16" ht="15.75" customHeight="1" x14ac:dyDescent="0.25">
      <c r="A39" s="29" t="s">
        <v>29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15.75" customHeight="1" x14ac:dyDescent="0.25">
      <c r="A40" s="29" t="s">
        <v>30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15.75" customHeight="1" x14ac:dyDescent="0.25">
      <c r="A41" s="29" t="s">
        <v>31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29" t="s">
        <v>33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34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5" t="s">
        <v>35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3" t="s">
        <v>36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5" t="s">
        <v>37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x14ac:dyDescent="0.25">
      <c r="A48" s="5" t="s">
        <v>38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x14ac:dyDescent="0.25">
      <c r="A49" s="5" t="s">
        <v>39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x14ac:dyDescent="0.25">
      <c r="A50" s="5" t="s">
        <v>40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5" t="s">
        <v>41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5" t="s">
        <v>42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3" t="s">
        <v>43</v>
      </c>
      <c r="B53" s="25">
        <f>B54+B57+B58</f>
        <v>2065000</v>
      </c>
      <c r="C53" s="25">
        <f>C54+C57+C58+C55+C61+C59</f>
        <v>3345000</v>
      </c>
      <c r="D53" s="25">
        <f>D54+D57+D58</f>
        <v>0</v>
      </c>
      <c r="E53" s="25">
        <f>E54+E57+E58</f>
        <v>0</v>
      </c>
      <c r="F53" s="25">
        <f>F54+F57+F58</f>
        <v>0</v>
      </c>
      <c r="G53" s="25">
        <f>G54+G57+G58</f>
        <v>0</v>
      </c>
      <c r="H53" s="25">
        <f>H54+H57+H58+H55</f>
        <v>100772</v>
      </c>
      <c r="I53" s="25">
        <f t="shared" ref="I53:N53" si="7">I54+I57+I58</f>
        <v>0</v>
      </c>
      <c r="J53" s="25">
        <f t="shared" si="7"/>
        <v>47189.38</v>
      </c>
      <c r="K53" s="25">
        <f t="shared" si="7"/>
        <v>483065.52</v>
      </c>
      <c r="L53" s="25">
        <f>L54+L57+L58+L61</f>
        <v>442570.42000000004</v>
      </c>
      <c r="M53" s="25">
        <f t="shared" si="7"/>
        <v>0</v>
      </c>
      <c r="N53" s="25">
        <f t="shared" si="7"/>
        <v>0</v>
      </c>
      <c r="O53" s="25">
        <f>O54+O57+O58+O55</f>
        <v>0</v>
      </c>
      <c r="P53" s="25">
        <f>SUM(D53:O53)</f>
        <v>1073597.32</v>
      </c>
    </row>
    <row r="54" spans="1:16" x14ac:dyDescent="0.25">
      <c r="A54" s="5" t="s">
        <v>44</v>
      </c>
      <c r="B54" s="24">
        <v>1965000</v>
      </c>
      <c r="C54" s="24">
        <v>1632102</v>
      </c>
      <c r="D54" s="24">
        <v>0</v>
      </c>
      <c r="E54" s="24">
        <v>0</v>
      </c>
      <c r="F54" s="24">
        <v>0</v>
      </c>
      <c r="G54" s="24">
        <v>0</v>
      </c>
      <c r="H54" s="24">
        <v>100772</v>
      </c>
      <c r="I54" s="24">
        <v>0</v>
      </c>
      <c r="J54" s="24">
        <v>47189.38</v>
      </c>
      <c r="K54" s="24">
        <f>77950.8+44458.8</f>
        <v>122409.60000000001</v>
      </c>
      <c r="L54" s="24">
        <f>33846.74+24067.28</f>
        <v>57914.02</v>
      </c>
      <c r="M54" s="24"/>
      <c r="N54" s="24"/>
      <c r="O54" s="24"/>
      <c r="P54" s="24">
        <f>SUM(D54:O54)</f>
        <v>328285</v>
      </c>
    </row>
    <row r="55" spans="1:16" x14ac:dyDescent="0.25">
      <c r="A55" s="5" t="s">
        <v>45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>SUM(D55:O55)</f>
        <v>0</v>
      </c>
    </row>
    <row r="56" spans="1:16" x14ac:dyDescent="0.25">
      <c r="A56" s="5" t="s">
        <v>46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ref="P56:P59" si="8">SUM(D56:O56)</f>
        <v>0</v>
      </c>
    </row>
    <row r="57" spans="1:16" x14ac:dyDescent="0.25">
      <c r="A57" s="5" t="s">
        <v>47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si="8"/>
        <v>0</v>
      </c>
    </row>
    <row r="58" spans="1:16" x14ac:dyDescent="0.25">
      <c r="A58" s="5" t="s">
        <v>48</v>
      </c>
      <c r="B58" s="24">
        <v>100000</v>
      </c>
      <c r="C58" s="24">
        <v>1482898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f>350408.92+10247</f>
        <v>360655.92</v>
      </c>
      <c r="L58" s="24">
        <f>21358+298540</f>
        <v>319898</v>
      </c>
      <c r="M58" s="24">
        <v>0</v>
      </c>
      <c r="N58" s="24">
        <v>0</v>
      </c>
      <c r="O58" s="24"/>
      <c r="P58" s="24">
        <f t="shared" si="8"/>
        <v>680553.91999999993</v>
      </c>
    </row>
    <row r="59" spans="1:16" x14ac:dyDescent="0.25">
      <c r="A59" s="5" t="s">
        <v>49</v>
      </c>
      <c r="B59" s="24">
        <v>0</v>
      </c>
      <c r="C59" s="24">
        <v>54000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f t="shared" si="8"/>
        <v>0</v>
      </c>
    </row>
    <row r="60" spans="1:16" x14ac:dyDescent="0.25">
      <c r="A60" s="5" t="s">
        <v>50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51</v>
      </c>
      <c r="B61" s="24">
        <v>0</v>
      </c>
      <c r="C61" s="24">
        <v>176000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64758.400000000001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5" t="s">
        <v>52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3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5" t="s">
        <v>54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5" t="s">
        <v>55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56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5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3" t="s">
        <v>58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5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5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3" t="s">
        <v>61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5">
      <c r="A72" s="5" t="s">
        <v>62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5" t="s">
        <v>63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5" t="s">
        <v>64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1" t="s">
        <v>67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25">
      <c r="A76" s="3" t="s">
        <v>68</v>
      </c>
      <c r="B76" s="25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25">
      <c r="A77" s="5" t="s">
        <v>69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5" t="s">
        <v>70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3" t="s">
        <v>71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5" t="s">
        <v>72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5" t="s">
        <v>73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3" t="s">
        <v>74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1:16" x14ac:dyDescent="0.25">
      <c r="A83" s="5" t="s">
        <v>75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</row>
    <row r="84" spans="1:16" ht="19.5" customHeight="1" x14ac:dyDescent="0.25">
      <c r="A84" s="9" t="s">
        <v>65</v>
      </c>
      <c r="B84" s="28">
        <f>B53+B37+B27+B17+B11</f>
        <v>315213767</v>
      </c>
      <c r="C84" s="28">
        <f>C53+C37+C27+C17+C11</f>
        <v>335213767</v>
      </c>
      <c r="D84" s="28">
        <f t="shared" ref="D84:P84" si="9">D53+D37+D27+D17+D11</f>
        <v>18713727.129999999</v>
      </c>
      <c r="E84" s="28">
        <f t="shared" si="9"/>
        <v>17849471.489999998</v>
      </c>
      <c r="F84" s="28">
        <f>F53+F37+F27+F17+F11</f>
        <v>19563881.91</v>
      </c>
      <c r="G84" s="28">
        <f t="shared" si="9"/>
        <v>31799117.909999996</v>
      </c>
      <c r="H84" s="28">
        <f t="shared" si="9"/>
        <v>21915269.530000001</v>
      </c>
      <c r="I84" s="28">
        <f>I53+I37+I27+I17+I11</f>
        <v>20490201.379999999</v>
      </c>
      <c r="J84" s="28">
        <f t="shared" si="9"/>
        <v>20416599.810000002</v>
      </c>
      <c r="K84" s="28">
        <f t="shared" si="9"/>
        <v>29797480.900000002</v>
      </c>
      <c r="L84" s="28">
        <f>L53+L37+L27+L17+L11</f>
        <v>24872374.890000001</v>
      </c>
      <c r="M84" s="28">
        <f t="shared" si="9"/>
        <v>27400623.259999998</v>
      </c>
      <c r="N84" s="28">
        <f t="shared" si="9"/>
        <v>0</v>
      </c>
      <c r="O84" s="28">
        <f t="shared" si="9"/>
        <v>0</v>
      </c>
      <c r="P84" s="28">
        <f t="shared" si="9"/>
        <v>232818748.21000004</v>
      </c>
    </row>
    <row r="85" spans="1:16" ht="17.25" customHeight="1" x14ac:dyDescent="0.25"/>
    <row r="86" spans="1:16" ht="18.75" x14ac:dyDescent="0.3">
      <c r="A86" s="31"/>
      <c r="B86" s="31" t="s">
        <v>102</v>
      </c>
      <c r="C86" s="30"/>
      <c r="D86" s="30"/>
      <c r="E86" s="30"/>
      <c r="F86" s="31" t="s">
        <v>103</v>
      </c>
      <c r="H86" s="32"/>
      <c r="J86" s="33"/>
      <c r="K86" s="30"/>
    </row>
    <row r="87" spans="1:16" ht="25.5" customHeight="1" x14ac:dyDescent="0.3">
      <c r="A87" s="34"/>
      <c r="B87" s="34" t="s">
        <v>104</v>
      </c>
      <c r="C87" s="32"/>
      <c r="D87" s="30"/>
      <c r="E87" s="30"/>
      <c r="F87" s="34" t="s">
        <v>104</v>
      </c>
      <c r="H87" s="34"/>
      <c r="I87" s="30"/>
      <c r="J87" s="30"/>
      <c r="K87" s="30"/>
    </row>
    <row r="88" spans="1:16" ht="18.75" x14ac:dyDescent="0.3">
      <c r="A88" s="32"/>
      <c r="B88" s="32" t="s">
        <v>105</v>
      </c>
      <c r="C88" s="32"/>
      <c r="D88" s="30"/>
      <c r="E88" s="30"/>
      <c r="F88" s="32" t="s">
        <v>106</v>
      </c>
      <c r="G88" s="45" t="s">
        <v>110</v>
      </c>
      <c r="H88" s="45"/>
      <c r="I88" s="45"/>
      <c r="J88" s="45"/>
      <c r="K88" s="30"/>
    </row>
    <row r="89" spans="1:16" ht="18.75" x14ac:dyDescent="0.3">
      <c r="A89" s="32"/>
      <c r="B89" s="32" t="s">
        <v>107</v>
      </c>
      <c r="C89" s="32"/>
      <c r="D89" s="30"/>
      <c r="E89" s="30"/>
      <c r="F89" s="31" t="s">
        <v>111</v>
      </c>
      <c r="G89" s="53"/>
      <c r="H89" s="31"/>
      <c r="I89" s="30"/>
      <c r="J89" s="30"/>
      <c r="K89" s="30"/>
    </row>
    <row r="90" spans="1:16" ht="18.75" x14ac:dyDescent="0.3">
      <c r="D90" s="30"/>
      <c r="E90" s="30"/>
      <c r="F90" s="30"/>
      <c r="H90" s="30"/>
      <c r="I90" s="30"/>
      <c r="J90" s="30"/>
      <c r="K90" s="30"/>
    </row>
    <row r="91" spans="1:16" ht="18.75" x14ac:dyDescent="0.25">
      <c r="B91" s="32"/>
    </row>
  </sheetData>
  <mergeCells count="10">
    <mergeCell ref="G88:J88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11811023622047245" right="0.11811023622047245" top="0.59055118110236227" bottom="0.55118110236220474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71" zoomScaleNormal="100" workbookViewId="0">
      <selection activeCell="L88" sqref="L88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21" customHeight="1" x14ac:dyDescent="0.25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15348424.139999999</v>
      </c>
      <c r="I10" s="25">
        <f>I11+I12+I15</f>
        <v>15120824.280000001</v>
      </c>
      <c r="J10" s="25">
        <f t="shared" si="0"/>
        <v>15626903.76</v>
      </c>
      <c r="K10" s="25">
        <f t="shared" si="0"/>
        <v>15141319.140000001</v>
      </c>
      <c r="L10" s="25">
        <f t="shared" si="0"/>
        <v>0</v>
      </c>
      <c r="M10" s="25">
        <f t="shared" si="0"/>
        <v>0</v>
      </c>
      <c r="N10" s="25">
        <f>SUM(B10:M10)</f>
        <v>159381384.16000003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12589618.85</v>
      </c>
      <c r="H11" s="24">
        <v>13062816.109999999</v>
      </c>
      <c r="I11" s="24">
        <v>12882718.640000001</v>
      </c>
      <c r="J11" s="24">
        <v>13352477.029999999</v>
      </c>
      <c r="K11" s="24">
        <v>12874063.42</v>
      </c>
      <c r="L11" s="24">
        <v>0</v>
      </c>
      <c r="M11" s="24">
        <v>0</v>
      </c>
      <c r="N11" s="24">
        <f>SUM(B11:M11)</f>
        <v>137583392.04999998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326500</v>
      </c>
      <c r="J12" s="24">
        <v>333500</v>
      </c>
      <c r="K12" s="24">
        <v>333500</v>
      </c>
      <c r="L12" s="24">
        <v>0</v>
      </c>
      <c r="M12" s="24">
        <v>0</v>
      </c>
      <c r="N12" s="24">
        <f>SUM(B12:M12)</f>
        <v>3321000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1837273.93</v>
      </c>
      <c r="H15" s="24">
        <v>1952108.03</v>
      </c>
      <c r="I15" s="24">
        <v>1911605.64</v>
      </c>
      <c r="J15" s="24">
        <v>1940926.73</v>
      </c>
      <c r="K15" s="24">
        <v>1933755.72</v>
      </c>
      <c r="L15" s="24">
        <v>0</v>
      </c>
      <c r="M15" s="24">
        <v>0</v>
      </c>
      <c r="N15" s="24">
        <f>SUM(B15:M15)</f>
        <v>18476992.109999999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 t="shared" ref="F16:K16" si="1">F17+F18+F19+F20+F21+F22+F23+F24+F25</f>
        <v>6265516.1599999992</v>
      </c>
      <c r="G16" s="25">
        <f t="shared" si="1"/>
        <v>5281734.8600000003</v>
      </c>
      <c r="H16" s="25">
        <f t="shared" si="1"/>
        <v>4913524.29</v>
      </c>
      <c r="I16" s="25">
        <f t="shared" si="1"/>
        <v>10424438.930000002</v>
      </c>
      <c r="J16" s="25">
        <f t="shared" si="1"/>
        <v>7006644.0999999996</v>
      </c>
      <c r="K16" s="25">
        <f t="shared" si="1"/>
        <v>11739598.679999998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62604031.180000007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2199476.56</v>
      </c>
      <c r="H17" s="24">
        <v>2237287.71</v>
      </c>
      <c r="I17" s="24">
        <v>2647214.62</v>
      </c>
      <c r="J17" s="24">
        <v>2704962.43</v>
      </c>
      <c r="K17" s="24">
        <v>2684251.4500000002</v>
      </c>
      <c r="L17" s="24">
        <v>0</v>
      </c>
      <c r="M17" s="24">
        <v>0</v>
      </c>
      <c r="N17" s="24">
        <f>SUM(B17:M17)</f>
        <v>23506960.359999999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36541.71</v>
      </c>
      <c r="J18" s="24">
        <v>0</v>
      </c>
      <c r="K18" s="24">
        <v>26611.39</v>
      </c>
      <c r="L18" s="24">
        <v>0</v>
      </c>
      <c r="M18" s="24">
        <v>0</v>
      </c>
      <c r="N18" s="24">
        <f t="shared" ref="N18:N23" si="2">SUM(B18:M18)</f>
        <v>63153.1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1758495</v>
      </c>
      <c r="J19" s="24">
        <v>0</v>
      </c>
      <c r="K19" s="24">
        <v>1549750</v>
      </c>
      <c r="L19" s="24">
        <v>0</v>
      </c>
      <c r="M19" s="24">
        <v>0</v>
      </c>
      <c r="N19" s="24">
        <f t="shared" si="2"/>
        <v>3308245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238324.63</v>
      </c>
      <c r="J20" s="24">
        <v>0</v>
      </c>
      <c r="K20" s="24">
        <v>28288.76</v>
      </c>
      <c r="L20" s="24">
        <v>0</v>
      </c>
      <c r="M20" s="24">
        <v>0</v>
      </c>
      <c r="N20" s="24">
        <f t="shared" si="2"/>
        <v>316613.39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1213726.22</v>
      </c>
      <c r="H21" s="24">
        <v>1682326.22</v>
      </c>
      <c r="I21" s="24">
        <v>3572602.89</v>
      </c>
      <c r="J21" s="24">
        <v>1275550.72</v>
      </c>
      <c r="K21" s="24">
        <v>2587292.61</v>
      </c>
      <c r="L21" s="24">
        <v>0</v>
      </c>
      <c r="M21" s="24">
        <v>0</v>
      </c>
      <c r="N21" s="24">
        <f t="shared" si="2"/>
        <v>15693456.550000001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1325827.42</v>
      </c>
      <c r="H22" s="24">
        <v>641188.48</v>
      </c>
      <c r="I22" s="24">
        <v>988271.8</v>
      </c>
      <c r="J22" s="24">
        <v>966601.02</v>
      </c>
      <c r="K22" s="24">
        <v>1749546.87</v>
      </c>
      <c r="L22" s="24">
        <v>0</v>
      </c>
      <c r="M22" s="24">
        <v>0</v>
      </c>
      <c r="N22" s="24">
        <f t="shared" si="2"/>
        <v>11221185.690000001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501749.42</v>
      </c>
      <c r="J23" s="24">
        <v>474714</v>
      </c>
      <c r="K23" s="24">
        <v>2556901.42</v>
      </c>
      <c r="L23" s="24">
        <v>0</v>
      </c>
      <c r="M23" s="24">
        <v>0</v>
      </c>
      <c r="N23" s="24">
        <f t="shared" si="2"/>
        <v>3533364.84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206100</v>
      </c>
      <c r="H24" s="24">
        <v>352721.88</v>
      </c>
      <c r="I24" s="24">
        <v>167993.8</v>
      </c>
      <c r="J24" s="24">
        <v>1375950.94</v>
      </c>
      <c r="K24" s="24">
        <v>187598.12</v>
      </c>
      <c r="L24" s="24">
        <v>0</v>
      </c>
      <c r="M24" s="24">
        <v>0</v>
      </c>
      <c r="N24" s="24">
        <f>SUM(B24:M24)</f>
        <v>3118208.2700000005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336604.66</v>
      </c>
      <c r="H25" s="24">
        <v>0</v>
      </c>
      <c r="I25" s="24">
        <v>513245.06</v>
      </c>
      <c r="J25" s="24">
        <v>208864.99</v>
      </c>
      <c r="K25" s="24">
        <v>369358.06</v>
      </c>
      <c r="L25" s="24">
        <v>0</v>
      </c>
      <c r="M25" s="24">
        <v>0</v>
      </c>
      <c r="N25" s="24">
        <f>SUM(B25:M25)</f>
        <v>1842843.98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896335.05</v>
      </c>
      <c r="G26" s="25">
        <f>G27+G28+G29+G30+G31+G32+G35</f>
        <v>448073.74</v>
      </c>
      <c r="H26" s="25">
        <f t="shared" ref="H26:N26" si="3">H27+H28+H29+H30+H31+H32+H33+H35</f>
        <v>107462</v>
      </c>
      <c r="I26" s="25">
        <f t="shared" si="3"/>
        <v>3769152.17</v>
      </c>
      <c r="J26" s="25">
        <f t="shared" si="3"/>
        <v>1796256.61</v>
      </c>
      <c r="K26" s="25">
        <f>K27+K28+K29+K30+K31+K32+K33+K35</f>
        <v>519705.44000000006</v>
      </c>
      <c r="L26" s="25">
        <f t="shared" si="3"/>
        <v>0</v>
      </c>
      <c r="M26" s="25">
        <f t="shared" si="3"/>
        <v>0</v>
      </c>
      <c r="N26" s="25">
        <f t="shared" si="3"/>
        <v>9735735.5500000007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185709.9</v>
      </c>
      <c r="H27" s="24">
        <v>7280</v>
      </c>
      <c r="I27" s="24">
        <v>180590.82</v>
      </c>
      <c r="J27" s="24">
        <v>48577.3</v>
      </c>
      <c r="K27" s="24">
        <v>110567.48</v>
      </c>
      <c r="L27" s="24">
        <v>0</v>
      </c>
      <c r="M27" s="24">
        <v>0</v>
      </c>
      <c r="N27" s="24">
        <f t="shared" ref="N27:N37" si="4">SUM(B27:M27)</f>
        <v>671624.78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103604</v>
      </c>
      <c r="H28" s="24">
        <v>0</v>
      </c>
      <c r="I28" s="24">
        <v>560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4"/>
        <v>108263.98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16291.95</v>
      </c>
      <c r="J29" s="24">
        <v>146346.56</v>
      </c>
      <c r="K29" s="24">
        <v>95652.9</v>
      </c>
      <c r="L29" s="24">
        <v>0</v>
      </c>
      <c r="M29" s="24">
        <v>0</v>
      </c>
      <c r="N29" s="24">
        <f t="shared" si="4"/>
        <v>370861.58999999997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4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122779.85</v>
      </c>
      <c r="J31" s="24">
        <v>0</v>
      </c>
      <c r="K31" s="24">
        <v>6323.65</v>
      </c>
      <c r="L31" s="24">
        <v>0</v>
      </c>
      <c r="M31" s="24">
        <v>0</v>
      </c>
      <c r="N31" s="24">
        <f t="shared" si="4"/>
        <v>163238.54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22550.53</v>
      </c>
      <c r="J32" s="24">
        <v>15515.16</v>
      </c>
      <c r="K32" s="24">
        <v>13163.72</v>
      </c>
      <c r="L32" s="24">
        <v>0</v>
      </c>
      <c r="M32" s="24">
        <v>0</v>
      </c>
      <c r="N32" s="24">
        <f t="shared" si="4"/>
        <v>51229.41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3206368.58</v>
      </c>
      <c r="J33" s="24">
        <v>1405603.82</v>
      </c>
      <c r="K33" s="24">
        <v>80769.649999999994</v>
      </c>
      <c r="L33" s="24">
        <v>0</v>
      </c>
      <c r="M33" s="24">
        <v>0</v>
      </c>
      <c r="N33" s="24">
        <f t="shared" si="4"/>
        <v>7230389.0500000007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f>173208.57+40002</f>
        <v>213210.57</v>
      </c>
      <c r="G35" s="24">
        <v>158759.84</v>
      </c>
      <c r="H35" s="24">
        <v>100182</v>
      </c>
      <c r="I35" s="24">
        <v>220010.44</v>
      </c>
      <c r="J35" s="24">
        <v>180213.77</v>
      </c>
      <c r="K35" s="24">
        <v>213228.04</v>
      </c>
      <c r="L35" s="24">
        <v>0</v>
      </c>
      <c r="M35" s="24">
        <v>0</v>
      </c>
      <c r="N35" s="24">
        <f t="shared" si="4"/>
        <v>1140128.2</v>
      </c>
    </row>
    <row r="36" spans="1:14" ht="17.25" customHeight="1" x14ac:dyDescent="0.25">
      <c r="A36" s="3" t="s">
        <v>27</v>
      </c>
      <c r="B36" s="25">
        <f t="shared" ref="B36:N36" si="5">B37+B38+B39+B40+B41+B42</f>
        <v>0</v>
      </c>
      <c r="C36" s="25">
        <f t="shared" si="5"/>
        <v>0</v>
      </c>
      <c r="D36" s="25">
        <f t="shared" si="5"/>
        <v>24000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4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6">B46</f>
        <v>0</v>
      </c>
      <c r="C45" s="25">
        <f t="shared" si="6"/>
        <v>0</v>
      </c>
      <c r="D45" s="25">
        <f t="shared" si="6"/>
        <v>0</v>
      </c>
      <c r="E45" s="25">
        <f t="shared" si="6"/>
        <v>0</v>
      </c>
      <c r="F45" s="25">
        <f t="shared" si="6"/>
        <v>0</v>
      </c>
      <c r="G45" s="25">
        <f t="shared" si="6"/>
        <v>0</v>
      </c>
      <c r="H45" s="25">
        <f t="shared" si="6"/>
        <v>0</v>
      </c>
      <c r="I45" s="25">
        <f t="shared" si="6"/>
        <v>0</v>
      </c>
      <c r="J45" s="25">
        <f t="shared" si="6"/>
        <v>0</v>
      </c>
      <c r="K45" s="25">
        <f t="shared" si="6"/>
        <v>0</v>
      </c>
      <c r="L45" s="25">
        <f t="shared" si="6"/>
        <v>0</v>
      </c>
      <c r="M45" s="25">
        <f t="shared" si="6"/>
        <v>0</v>
      </c>
      <c r="N45" s="25">
        <f t="shared" si="6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47189.38</v>
      </c>
      <c r="I52" s="25">
        <f>I53+I57</f>
        <v>483065.52</v>
      </c>
      <c r="J52" s="25">
        <f>J53+J57+J61</f>
        <v>442570.42000000004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1073597.32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47189.38</v>
      </c>
      <c r="I53" s="24">
        <v>122409.60000000001</v>
      </c>
      <c r="J53" s="24">
        <v>57914.02</v>
      </c>
      <c r="K53" s="24">
        <v>0</v>
      </c>
      <c r="L53" s="24">
        <v>0</v>
      </c>
      <c r="M53" s="24">
        <v>0</v>
      </c>
      <c r="N53" s="24">
        <f>SUM(B53:M53)</f>
        <v>328285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360655.92</v>
      </c>
      <c r="J57" s="24">
        <v>319898</v>
      </c>
      <c r="K57" s="24">
        <v>0</v>
      </c>
      <c r="L57" s="24">
        <v>0</v>
      </c>
      <c r="M57" s="24">
        <v>0</v>
      </c>
      <c r="N57" s="24">
        <f>SUM(B57:M57)</f>
        <v>680553.91999999993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64758.400000000001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7">B63</f>
        <v>0</v>
      </c>
      <c r="C62" s="25">
        <f t="shared" si="7"/>
        <v>0</v>
      </c>
      <c r="D62" s="25">
        <f t="shared" si="7"/>
        <v>0</v>
      </c>
      <c r="E62" s="25">
        <f t="shared" si="7"/>
        <v>0</v>
      </c>
      <c r="F62" s="25">
        <f t="shared" si="7"/>
        <v>0</v>
      </c>
      <c r="G62" s="25">
        <f t="shared" si="7"/>
        <v>0</v>
      </c>
      <c r="H62" s="25">
        <f t="shared" si="7"/>
        <v>0</v>
      </c>
      <c r="I62" s="25">
        <f t="shared" si="7"/>
        <v>0</v>
      </c>
      <c r="J62" s="25">
        <f t="shared" si="7"/>
        <v>0</v>
      </c>
      <c r="K62" s="25">
        <f t="shared" si="7"/>
        <v>0</v>
      </c>
      <c r="L62" s="25">
        <f t="shared" si="7"/>
        <v>0</v>
      </c>
      <c r="M62" s="25">
        <f t="shared" si="7"/>
        <v>0</v>
      </c>
      <c r="N62" s="25">
        <f t="shared" si="7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>
        <f>D52+D16+D10+D26+D36</f>
        <v>19563881.91</v>
      </c>
      <c r="E83" s="26">
        <f>E52+E16+E10+E26</f>
        <v>31799117.909999996</v>
      </c>
      <c r="F83" s="26">
        <f>F52+F16+F10+F26</f>
        <v>21915269.530000001</v>
      </c>
      <c r="G83" s="26">
        <f>G52+G16+G10+G26</f>
        <v>20490201.379999999</v>
      </c>
      <c r="H83" s="26">
        <f>H52+H16+H10+H26</f>
        <v>20416599.809999999</v>
      </c>
      <c r="I83" s="26">
        <f>I52+I26+I16+I10</f>
        <v>29797480.900000002</v>
      </c>
      <c r="J83" s="26">
        <f>J52+J16+J10+J26</f>
        <v>24872374.890000001</v>
      </c>
      <c r="K83" s="26">
        <f>K52+K16+K10+K26</f>
        <v>27400623.260000002</v>
      </c>
      <c r="L83" s="26">
        <f>L52+L16+L10+L26</f>
        <v>0</v>
      </c>
      <c r="M83" s="26">
        <f>M10+M16+M52+M26</f>
        <v>0</v>
      </c>
      <c r="N83" s="26">
        <f>N52+N26+N16+N10+N36</f>
        <v>232818748.21000004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2023-11-03T16:04:49Z</cp:lastPrinted>
  <dcterms:created xsi:type="dcterms:W3CDTF">2021-07-29T18:58:50Z</dcterms:created>
  <dcterms:modified xsi:type="dcterms:W3CDTF">2023-11-03T16:06:03Z</dcterms:modified>
</cp:coreProperties>
</file>