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3\"/>
    </mc:Choice>
  </mc:AlternateContent>
  <xr:revisionPtr revIDLastSave="0" documentId="13_ncr:1_{00D34D55-4AC8-4607-AF17-B21A595557A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1">'P2 Presupuesto Aprobado-Ejec '!$1:$8</definedName>
    <definedName name="_xlnm.Print_Titles" localSheetId="2">'P3 Ejecucion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6" i="3" l="1"/>
  <c r="I52" i="3"/>
  <c r="J11" i="2" l="1"/>
  <c r="J10" i="2" s="1"/>
  <c r="I11" i="2"/>
  <c r="K35" i="2"/>
  <c r="K57" i="2"/>
  <c r="K53" i="2"/>
  <c r="K33" i="2"/>
  <c r="K32" i="2"/>
  <c r="K31" i="2"/>
  <c r="K29" i="2"/>
  <c r="K27" i="2"/>
  <c r="K24" i="2"/>
  <c r="K23" i="2"/>
  <c r="K21" i="2"/>
  <c r="K20" i="2"/>
  <c r="K17" i="2"/>
  <c r="K11" i="2"/>
  <c r="K15" i="2"/>
  <c r="D83" i="3"/>
  <c r="D26" i="3"/>
  <c r="J24" i="2" l="1"/>
  <c r="J35" i="2"/>
  <c r="J26" i="2" s="1"/>
  <c r="J17" i="2"/>
  <c r="F35" i="3"/>
  <c r="H35" i="2"/>
  <c r="J16" i="2" l="1"/>
  <c r="G83" i="3"/>
  <c r="G16" i="3"/>
  <c r="G26" i="3"/>
  <c r="I26" i="2"/>
  <c r="I22" i="2"/>
  <c r="I21" i="2"/>
  <c r="I17" i="2"/>
  <c r="I16" i="2" s="1"/>
  <c r="I15" i="2"/>
  <c r="I10" i="2" s="1"/>
  <c r="E54" i="1"/>
  <c r="N37" i="3"/>
  <c r="F52" i="3"/>
  <c r="F26" i="3"/>
  <c r="F83" i="3" s="1"/>
  <c r="F16" i="3"/>
  <c r="C52" i="2"/>
  <c r="P37" i="2" l="1"/>
  <c r="H52" i="2" l="1"/>
  <c r="H29" i="2"/>
  <c r="H27" i="2"/>
  <c r="H26" i="2" s="1"/>
  <c r="H21" i="2"/>
  <c r="H17" i="2"/>
  <c r="H16" i="2" s="1"/>
  <c r="E83" i="3"/>
  <c r="E16" i="3"/>
  <c r="E22" i="3"/>
  <c r="D16" i="3"/>
  <c r="D10" i="3"/>
  <c r="F26" i="2"/>
  <c r="F21" i="2"/>
  <c r="F17" i="2"/>
  <c r="F11" i="2"/>
  <c r="F15" i="2"/>
  <c r="C16" i="3"/>
  <c r="E17" i="2"/>
  <c r="E16" i="2" s="1"/>
  <c r="E11" i="2"/>
  <c r="E15" i="2"/>
  <c r="D17" i="2"/>
  <c r="D15" i="2"/>
  <c r="D11" i="2"/>
  <c r="D28" i="1"/>
  <c r="D12" i="1"/>
  <c r="M16" i="3"/>
  <c r="M26" i="3"/>
  <c r="M52" i="3"/>
  <c r="O16" i="2"/>
  <c r="L16" i="3"/>
  <c r="K26" i="3"/>
  <c r="P34" i="2"/>
  <c r="P57" i="2"/>
  <c r="P56" i="2"/>
  <c r="P55" i="2"/>
  <c r="H16" i="3" l="1"/>
  <c r="H52" i="3"/>
  <c r="H26" i="3"/>
  <c r="N62" i="3"/>
  <c r="N45" i="3"/>
  <c r="N36" i="3"/>
  <c r="M62" i="3"/>
  <c r="L62" i="3"/>
  <c r="K62" i="3"/>
  <c r="J62" i="3"/>
  <c r="I62" i="3"/>
  <c r="H62" i="3"/>
  <c r="G62" i="3"/>
  <c r="F62" i="3"/>
  <c r="E62" i="3"/>
  <c r="D62" i="3"/>
  <c r="C62" i="3"/>
  <c r="B62" i="3"/>
  <c r="G52" i="3"/>
  <c r="M45" i="3"/>
  <c r="L45" i="3"/>
  <c r="K45" i="3"/>
  <c r="J45" i="3"/>
  <c r="I45" i="3"/>
  <c r="H45" i="3"/>
  <c r="G45" i="3"/>
  <c r="F45" i="3"/>
  <c r="E45" i="3"/>
  <c r="D45" i="3"/>
  <c r="C45" i="3"/>
  <c r="B45" i="3"/>
  <c r="M36" i="3"/>
  <c r="L36" i="3"/>
  <c r="K36" i="3"/>
  <c r="J36" i="3"/>
  <c r="I36" i="3"/>
  <c r="H36" i="3"/>
  <c r="G36" i="3"/>
  <c r="F36" i="3"/>
  <c r="E36" i="3"/>
  <c r="D36" i="3"/>
  <c r="C36" i="3"/>
  <c r="B36" i="3"/>
  <c r="N12" i="3" l="1"/>
  <c r="N15" i="3"/>
  <c r="N57" i="3"/>
  <c r="N56" i="3"/>
  <c r="E52" i="3"/>
  <c r="E26" i="3"/>
  <c r="C26" i="3"/>
  <c r="K52" i="3"/>
  <c r="D52" i="3"/>
  <c r="C52" i="3"/>
  <c r="B52" i="3"/>
  <c r="B26" i="3"/>
  <c r="B16" i="2"/>
  <c r="D18" i="1" l="1"/>
  <c r="M10" i="3"/>
  <c r="O52" i="2"/>
  <c r="C36" i="2"/>
  <c r="C16" i="2"/>
  <c r="N54" i="3"/>
  <c r="L26" i="3"/>
  <c r="L52" i="3"/>
  <c r="L10" i="3"/>
  <c r="I10" i="3"/>
  <c r="I26" i="3"/>
  <c r="K10" i="3"/>
  <c r="K83" i="3" s="1"/>
  <c r="N35" i="3"/>
  <c r="N33" i="3"/>
  <c r="N32" i="3"/>
  <c r="N31" i="3"/>
  <c r="N30" i="3"/>
  <c r="N29" i="3"/>
  <c r="N28" i="3"/>
  <c r="N27" i="3"/>
  <c r="J52" i="3"/>
  <c r="N53" i="3"/>
  <c r="J26" i="3"/>
  <c r="N25" i="3"/>
  <c r="K16" i="3"/>
  <c r="J16" i="3"/>
  <c r="B16" i="3"/>
  <c r="N24" i="3"/>
  <c r="N23" i="3"/>
  <c r="N22" i="3"/>
  <c r="N21" i="3"/>
  <c r="N20" i="3"/>
  <c r="N19" i="3"/>
  <c r="N18" i="3"/>
  <c r="N17" i="3"/>
  <c r="J10" i="3"/>
  <c r="H10" i="3"/>
  <c r="H83" i="3" s="1"/>
  <c r="G10" i="3"/>
  <c r="F10" i="3"/>
  <c r="E10" i="3"/>
  <c r="C10" i="3"/>
  <c r="B10" i="3"/>
  <c r="N11" i="3"/>
  <c r="P54" i="2"/>
  <c r="P53" i="2"/>
  <c r="N52" i="2"/>
  <c r="M52" i="2"/>
  <c r="L52" i="2"/>
  <c r="K52" i="2"/>
  <c r="J52" i="2"/>
  <c r="I52" i="2"/>
  <c r="P29" i="2"/>
  <c r="P35" i="2"/>
  <c r="P33" i="2"/>
  <c r="P32" i="2"/>
  <c r="P31" i="2"/>
  <c r="P30" i="2"/>
  <c r="P28" i="2"/>
  <c r="P27" i="2"/>
  <c r="P25" i="2"/>
  <c r="P23" i="2"/>
  <c r="P20" i="2"/>
  <c r="P19" i="2"/>
  <c r="P18" i="2"/>
  <c r="K16" i="2"/>
  <c r="P24" i="2"/>
  <c r="P22" i="2"/>
  <c r="P21" i="2"/>
  <c r="P17" i="2"/>
  <c r="P15" i="2"/>
  <c r="P12" i="2"/>
  <c r="P11" i="2"/>
  <c r="G52" i="2"/>
  <c r="F52" i="2"/>
  <c r="E52" i="2"/>
  <c r="D52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O26" i="2"/>
  <c r="N26" i="2"/>
  <c r="M26" i="2"/>
  <c r="L26" i="2"/>
  <c r="K26" i="2"/>
  <c r="G26" i="2"/>
  <c r="E26" i="2"/>
  <c r="D26" i="2"/>
  <c r="N16" i="2"/>
  <c r="M16" i="2"/>
  <c r="L16" i="2"/>
  <c r="G16" i="2"/>
  <c r="F16" i="2"/>
  <c r="D16" i="2"/>
  <c r="O10" i="2"/>
  <c r="N10" i="2"/>
  <c r="M10" i="2"/>
  <c r="L10" i="2"/>
  <c r="K10" i="2"/>
  <c r="H10" i="2"/>
  <c r="G10" i="2"/>
  <c r="F10" i="2"/>
  <c r="E10" i="2"/>
  <c r="D10" i="2"/>
  <c r="B52" i="2"/>
  <c r="B36" i="2"/>
  <c r="C26" i="2"/>
  <c r="B26" i="2"/>
  <c r="B10" i="2"/>
  <c r="C10" i="2"/>
  <c r="F83" i="2" l="1"/>
  <c r="I83" i="2"/>
  <c r="P10" i="2"/>
  <c r="C83" i="3"/>
  <c r="B83" i="3"/>
  <c r="M83" i="3"/>
  <c r="J83" i="3"/>
  <c r="L83" i="3"/>
  <c r="B83" i="2"/>
  <c r="P52" i="2"/>
  <c r="C83" i="2"/>
  <c r="I83" i="3"/>
  <c r="N26" i="3"/>
  <c r="N10" i="3"/>
  <c r="N16" i="3"/>
  <c r="N52" i="3"/>
  <c r="P26" i="2"/>
  <c r="G83" i="2"/>
  <c r="P16" i="2"/>
  <c r="O83" i="2"/>
  <c r="M83" i="2"/>
  <c r="N83" i="2"/>
  <c r="H83" i="2"/>
  <c r="L83" i="2"/>
  <c r="K83" i="2"/>
  <c r="J83" i="2"/>
  <c r="E83" i="2"/>
  <c r="D83" i="2"/>
  <c r="D54" i="1"/>
  <c r="E38" i="1"/>
  <c r="D38" i="1"/>
  <c r="E28" i="1"/>
  <c r="E18" i="1"/>
  <c r="E12" i="1"/>
  <c r="N83" i="3" l="1"/>
  <c r="E85" i="1"/>
  <c r="D85" i="1"/>
  <c r="P83" i="2"/>
</calcChain>
</file>

<file path=xl/sharedStrings.xml><?xml version="1.0" encoding="utf-8"?>
<sst xmlns="http://schemas.openxmlformats.org/spreadsheetml/2006/main" count="291" uniqueCount="116">
  <si>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</si>
  <si>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</si>
  <si>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</si>
  <si>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</si>
  <si>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</si>
  <si>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</si>
  <si>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</si>
  <si>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</si>
  <si>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</si>
  <si>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</si>
  <si>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</si>
  <si>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</si>
  <si>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</si>
  <si>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</si>
  <si>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</si>
  <si>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</si>
  <si>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</si>
  <si>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</si>
  <si>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</si>
  <si>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</si>
  <si>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</si>
  <si>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</si>
  <si>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</si>
  <si>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</si>
  <si>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</si>
  <si>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</si>
  <si>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</si>
  <si>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</si>
  <si>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</si>
  <si>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</si>
  <si>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</si>
  <si>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</si>
  <si>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</si>
  <si>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</si>
  <si>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</si>
  <si>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</si>
  <si>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</si>
  <si>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</si>
  <si>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</si>
  <si>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</si>
  <si>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</si>
  <si>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</si>
  <si>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</si>
  <si>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</si>
  <si>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</si>
  <si>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</si>
  <si>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</si>
  <si>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</si>
  <si>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</si>
  <si>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</si>
  <si>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</si>
  <si>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</si>
  <si>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</si>
  <si>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</si>
  <si>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</si>
  <si>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</si>
  <si>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</si>
  <si>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</si>
  <si>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</si>
  <si>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</si>
  <si>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</si>
  <si>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</si>
  <si>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</si>
  <si>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</si>
  <si>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</si>
  <si>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</si>
  <si>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</si>
  <si>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</si>
  <si>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</si>
  <si>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</si>
  <si>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</si>
  <si>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</si>
  <si>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</si>
  <si>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</si>
  <si>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</si>
  <si>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</si>
  <si>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</si>
  <si>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</si>
  <si>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</si>
  <si>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</si>
  <si>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</si>
  <si>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</si>
  <si>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</si>
  <si>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</si>
  <si>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</si>
  <si>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</si>
  <si>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</si>
  <si>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</si>
  <si>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</si>
  <si>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</si>
  <si>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</si>
  <si>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</si>
  <si>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</si>
  <si>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</si>
  <si>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</si>
  <si>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</si>
  <si>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</si>
  <si>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</si>
  <si>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REPUBLICA DOMINICANA</t>
  </si>
  <si>
    <t>SISTEMA UNICO DE BENEFICIARIOS (SIUBEN)</t>
  </si>
  <si>
    <t xml:space="preserve">SISTEMA UNICO DE BENERICIARIOS </t>
  </si>
  <si>
    <t>SISTEMA UNICO DE BENEFICIARIOS</t>
  </si>
  <si>
    <t xml:space="preserve">                                                                                                                             Preparado por:</t>
  </si>
  <si>
    <t xml:space="preserve">                                                                                                                             Autorizado por:</t>
  </si>
  <si>
    <t xml:space="preserve">                                                                                                                              _____________________________</t>
  </si>
  <si>
    <t xml:space="preserve">                                                                                                                      Thelbia Fernández</t>
  </si>
  <si>
    <t xml:space="preserve">                                                                                                                      Giselle Feliz García</t>
  </si>
  <si>
    <t xml:space="preserve">                                                                                                                      Analista de Presupuesto – SIUBEN</t>
  </si>
  <si>
    <t xml:space="preserve">                                                                                                                   Altagracia Ramona Peralta</t>
  </si>
  <si>
    <t xml:space="preserve">                                                                                                                     Directora Administrativa y Financiera </t>
  </si>
  <si>
    <t>Altagracia Ramona Peralta</t>
  </si>
  <si>
    <t xml:space="preserve">                                                                                                                      Directora  Administrativa y Financiera</t>
  </si>
  <si>
    <t>Sept</t>
  </si>
  <si>
    <t>Nov</t>
  </si>
  <si>
    <t>Dic</t>
  </si>
  <si>
    <t>Octu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</si>
</sst>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i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4" fontId="2" fillId="2" borderId="2" xfId="0" applyNumberFormat="1" applyFont="1" applyFill="1" applyBorder="1"/>
    <xf numFmtId="4" fontId="0" fillId="0" borderId="0" xfId="0" applyNumberFormat="1"/>
    <xf numFmtId="4" fontId="3" fillId="0" borderId="0" xfId="0" applyNumberFormat="1" applyFont="1"/>
    <xf numFmtId="39" fontId="2" fillId="2" borderId="2" xfId="0" applyNumberFormat="1" applyFont="1" applyFill="1" applyBorder="1"/>
    <xf numFmtId="4" fontId="3" fillId="0" borderId="1" xfId="0" applyNumberFormat="1" applyFont="1" applyBorder="1"/>
    <xf numFmtId="4" fontId="2" fillId="2" borderId="2" xfId="0" applyNumberFormat="1" applyFont="1" applyFill="1" applyBorder="1"/>
    <xf numFmtId="0" fontId="0" fillId="0" borderId="0" xfId="0" applyAlignment="1">
      <alignment horizontal="left" wrapText="1" indent="2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0" fillId="0" borderId="0" xfId="0" applyFont="1"/>
    <xf numFmtId="0" fontId="14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666750</xdr:colOff>
      <xdr:row>0</xdr:row>
      <xdr:rowOff>114300</xdr:rowOff>
    </xdr:from>
    <xdr:to>
      <xdr:col>5</xdr:col>
      <xdr:colOff>330835</xdr:colOff>
      <xdr:row>5</xdr:row>
      <xdr:rowOff>167005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000EB237-2C86-3E8B-AF53-AB03ECF60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8775" y="114300"/>
          <a:ext cx="1950085" cy="12623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142876</xdr:colOff>
      <xdr:row>0</xdr:row>
      <xdr:rowOff>0</xdr:rowOff>
    </xdr:from>
    <xdr:to>
      <xdr:col>15</xdr:col>
      <xdr:colOff>730886</xdr:colOff>
      <xdr:row>5</xdr:row>
      <xdr:rowOff>33655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B56910F4-0375-A976-BF1E-298FB2B04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35101" y="0"/>
          <a:ext cx="1950085" cy="12623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647700</xdr:colOff>
      <xdr:row>1</xdr:row>
      <xdr:rowOff>171450</xdr:rowOff>
    </xdr:from>
    <xdr:to>
      <xdr:col>13</xdr:col>
      <xdr:colOff>676274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4687550" y="361950"/>
          <a:ext cx="19430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11</xdr:col>
      <xdr:colOff>781050</xdr:colOff>
      <xdr:row>0</xdr:row>
      <xdr:rowOff>0</xdr:rowOff>
    </xdr:from>
    <xdr:to>
      <xdr:col>13</xdr:col>
      <xdr:colOff>816610</xdr:colOff>
      <xdr:row>5</xdr:row>
      <xdr:rowOff>43180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A451AAFC-4916-9595-E0CF-008D97137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16125" y="0"/>
          <a:ext cx="1950085" cy="12623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93"/>
  <sheetViews>
    <sheetView showGridLines="0" topLeftCell="A59" workbookViewId="0">
      <selection activeCell="H12" sqref="H12"/>
    </sheetView>
  </sheetViews>
  <sheetFormatPr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37" t="s">
        <v>98</v>
      </c>
      <c r="D3" s="37"/>
      <c r="E3" s="37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37" t="s">
        <v>99</v>
      </c>
      <c r="D4" s="37"/>
      <c r="E4" s="37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43">
        <v>2023</v>
      </c>
      <c r="D5" s="44"/>
      <c r="E5" s="44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38" t="s">
        <v>76</v>
      </c>
      <c r="D6" s="39"/>
      <c r="E6" s="39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38" t="s">
        <v>77</v>
      </c>
      <c r="D7" s="39"/>
      <c r="E7" s="39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9" spans="2:16" ht="15" customHeight="1" x14ac:dyDescent="0.25">
      <c r="C9" s="40" t="s">
        <v>66</v>
      </c>
      <c r="D9" s="41" t="s">
        <v>94</v>
      </c>
      <c r="E9" s="41" t="s">
        <v>93</v>
      </c>
      <c r="F9" s="8"/>
    </row>
    <row r="10" spans="2:16" ht="23.25" customHeight="1" x14ac:dyDescent="0.25">
      <c r="C10" s="40"/>
      <c r="D10" s="42"/>
      <c r="E10" s="42"/>
      <c r="F10" s="8"/>
    </row>
    <row r="11" spans="2:16" x14ac:dyDescent="0.25">
      <c r="C11" s="1" t="s">
        <v>0</v>
      </c>
      <c r="D11" s="2"/>
      <c r="E11" s="2"/>
      <c r="F11" s="8"/>
    </row>
    <row r="12" spans="2:16" x14ac:dyDescent="0.25">
      <c r="C12" s="3" t="s">
        <v>1</v>
      </c>
      <c r="D12" s="4">
        <f>D13+D14+D17</f>
        <v>201090287</v>
      </c>
      <c r="E12" s="4">
        <f>E13+E14+E17</f>
        <v>207066153</v>
      </c>
      <c r="F12" s="8"/>
    </row>
    <row r="13" spans="2:16" x14ac:dyDescent="0.25">
      <c r="C13" s="5" t="s">
        <v>2</v>
      </c>
      <c r="D13" s="6">
        <v>162971440</v>
      </c>
      <c r="E13" s="6">
        <v>169529877</v>
      </c>
      <c r="F13" s="8"/>
    </row>
    <row r="14" spans="2:16" x14ac:dyDescent="0.25">
      <c r="C14" s="5" t="s">
        <v>3</v>
      </c>
      <c r="D14" s="6">
        <v>16002000</v>
      </c>
      <c r="E14" s="6">
        <v>14773547</v>
      </c>
      <c r="F14" s="8"/>
    </row>
    <row r="15" spans="2:16" x14ac:dyDescent="0.25">
      <c r="C15" s="5" t="s">
        <v>4</v>
      </c>
      <c r="D15" s="6"/>
      <c r="F15" s="8"/>
    </row>
    <row r="16" spans="2:16" x14ac:dyDescent="0.25">
      <c r="C16" s="5" t="s">
        <v>5</v>
      </c>
      <c r="D16" s="6"/>
      <c r="F16" s="8"/>
    </row>
    <row r="17" spans="3:6" x14ac:dyDescent="0.25">
      <c r="C17" s="5" t="s">
        <v>6</v>
      </c>
      <c r="D17" s="6">
        <v>22116847</v>
      </c>
      <c r="E17" s="6">
        <v>22762729</v>
      </c>
      <c r="F17" s="8"/>
    </row>
    <row r="18" spans="3:6" x14ac:dyDescent="0.25">
      <c r="C18" s="3" t="s">
        <v>7</v>
      </c>
      <c r="D18" s="4">
        <f>D19+D20+D21+D22+D23+D24+D25+D26+D27</f>
        <v>94648456</v>
      </c>
      <c r="E18" s="4">
        <f>E19+E20+E21+E22+E23+E24+E25+E26+E27</f>
        <v>107434345</v>
      </c>
      <c r="F18" s="8"/>
    </row>
    <row r="19" spans="3:6" x14ac:dyDescent="0.25">
      <c r="C19" s="5" t="s">
        <v>8</v>
      </c>
      <c r="D19" s="6">
        <v>22382750</v>
      </c>
      <c r="E19" s="6">
        <v>24482750</v>
      </c>
      <c r="F19" s="8"/>
    </row>
    <row r="20" spans="3:6" x14ac:dyDescent="0.25">
      <c r="C20" s="5" t="s">
        <v>9</v>
      </c>
      <c r="D20" s="6">
        <v>700000</v>
      </c>
      <c r="E20" s="6">
        <v>526000</v>
      </c>
      <c r="F20" s="8"/>
    </row>
    <row r="21" spans="3:6" x14ac:dyDescent="0.25">
      <c r="C21" s="5" t="s">
        <v>10</v>
      </c>
      <c r="D21" s="6">
        <v>4200000</v>
      </c>
      <c r="E21" s="6">
        <v>4200000</v>
      </c>
      <c r="F21" s="8"/>
    </row>
    <row r="22" spans="3:6" x14ac:dyDescent="0.25">
      <c r="C22" s="5" t="s">
        <v>11</v>
      </c>
      <c r="D22" s="6">
        <v>2720000</v>
      </c>
      <c r="E22" s="6">
        <v>2776000</v>
      </c>
      <c r="F22" s="8"/>
    </row>
    <row r="23" spans="3:6" x14ac:dyDescent="0.25">
      <c r="C23" s="5" t="s">
        <v>12</v>
      </c>
      <c r="D23" s="6">
        <v>20595526</v>
      </c>
      <c r="E23" s="6">
        <v>20325251</v>
      </c>
    </row>
    <row r="24" spans="3:6" x14ac:dyDescent="0.25">
      <c r="C24" s="5" t="s">
        <v>13</v>
      </c>
      <c r="D24" s="6">
        <v>13398400</v>
      </c>
      <c r="E24" s="6">
        <v>13289830</v>
      </c>
    </row>
    <row r="25" spans="3:6" x14ac:dyDescent="0.25">
      <c r="C25" s="5" t="s">
        <v>14</v>
      </c>
      <c r="D25" s="6">
        <v>2156200</v>
      </c>
      <c r="E25" s="6">
        <v>4962700</v>
      </c>
    </row>
    <row r="26" spans="3:6" x14ac:dyDescent="0.25">
      <c r="C26" s="5" t="s">
        <v>15</v>
      </c>
      <c r="D26" s="6">
        <v>25715580</v>
      </c>
      <c r="E26" s="6">
        <v>33180814</v>
      </c>
    </row>
    <row r="27" spans="3:6" x14ac:dyDescent="0.25">
      <c r="C27" s="5" t="s">
        <v>16</v>
      </c>
      <c r="D27" s="6">
        <v>2780000</v>
      </c>
      <c r="E27" s="6">
        <v>3691000</v>
      </c>
    </row>
    <row r="28" spans="3:6" x14ac:dyDescent="0.25">
      <c r="C28" s="3" t="s">
        <v>17</v>
      </c>
      <c r="D28" s="4">
        <f>D29+D30+D31+D32+D33+D34+D35+D37</f>
        <v>17410024</v>
      </c>
      <c r="E28" s="4">
        <f>E29+E30+E31+E32+E33+E34+E35+E37</f>
        <v>15844269</v>
      </c>
    </row>
    <row r="29" spans="3:6" x14ac:dyDescent="0.25">
      <c r="C29" s="5" t="s">
        <v>18</v>
      </c>
      <c r="D29" s="6">
        <v>5385000</v>
      </c>
      <c r="E29" s="6">
        <v>873300</v>
      </c>
    </row>
    <row r="30" spans="3:6" x14ac:dyDescent="0.25">
      <c r="C30" s="5" t="s">
        <v>19</v>
      </c>
      <c r="D30" s="6">
        <v>308000</v>
      </c>
      <c r="E30" s="6">
        <v>471000</v>
      </c>
    </row>
    <row r="31" spans="3:6" x14ac:dyDescent="0.25">
      <c r="C31" s="5" t="s">
        <v>20</v>
      </c>
      <c r="D31" s="6">
        <v>675000</v>
      </c>
      <c r="E31" s="6">
        <v>677000</v>
      </c>
    </row>
    <row r="32" spans="3:6" x14ac:dyDescent="0.25">
      <c r="C32" s="5" t="s">
        <v>21</v>
      </c>
      <c r="D32" s="6">
        <v>50000</v>
      </c>
      <c r="E32" s="6">
        <v>50000</v>
      </c>
    </row>
    <row r="33" spans="3:5" x14ac:dyDescent="0.25">
      <c r="C33" s="5" t="s">
        <v>22</v>
      </c>
      <c r="D33" s="6">
        <v>385000</v>
      </c>
      <c r="E33" s="6">
        <v>399800</v>
      </c>
    </row>
    <row r="34" spans="3:5" x14ac:dyDescent="0.25">
      <c r="C34" s="5" t="s">
        <v>23</v>
      </c>
      <c r="D34" s="6">
        <v>120000</v>
      </c>
      <c r="E34" s="6">
        <v>130500</v>
      </c>
    </row>
    <row r="35" spans="3:5" x14ac:dyDescent="0.25">
      <c r="C35" s="5" t="s">
        <v>24</v>
      </c>
      <c r="D35" s="6">
        <v>7350000</v>
      </c>
      <c r="E35" s="6">
        <v>10503945</v>
      </c>
    </row>
    <row r="36" spans="3:5" x14ac:dyDescent="0.25">
      <c r="C36" s="5" t="s">
        <v>25</v>
      </c>
      <c r="D36" s="6"/>
      <c r="E36" s="6"/>
    </row>
    <row r="37" spans="3:5" x14ac:dyDescent="0.25">
      <c r="C37" s="5" t="s">
        <v>26</v>
      </c>
      <c r="D37" s="6">
        <v>3137024</v>
      </c>
      <c r="E37" s="6">
        <v>2738724</v>
      </c>
    </row>
    <row r="38" spans="3:5" x14ac:dyDescent="0.25">
      <c r="C38" s="3" t="s">
        <v>27</v>
      </c>
      <c r="D38" s="4">
        <f>D39</f>
        <v>0</v>
      </c>
      <c r="E38" s="4">
        <f>E39</f>
        <v>24000</v>
      </c>
    </row>
    <row r="39" spans="3:5" x14ac:dyDescent="0.25">
      <c r="C39" s="5" t="s">
        <v>28</v>
      </c>
      <c r="D39" s="6">
        <v>0</v>
      </c>
      <c r="E39" s="6">
        <v>24000</v>
      </c>
    </row>
    <row r="40" spans="3:5" x14ac:dyDescent="0.25">
      <c r="C40" s="5" t="s">
        <v>29</v>
      </c>
      <c r="D40" s="6"/>
    </row>
    <row r="41" spans="3:5" x14ac:dyDescent="0.25">
      <c r="C41" s="5" t="s">
        <v>30</v>
      </c>
      <c r="D41" s="6"/>
    </row>
    <row r="42" spans="3:5" x14ac:dyDescent="0.25">
      <c r="C42" s="5" t="s">
        <v>31</v>
      </c>
      <c r="D42" s="6"/>
    </row>
    <row r="43" spans="3:5" x14ac:dyDescent="0.25">
      <c r="C43" s="5" t="s">
        <v>32</v>
      </c>
      <c r="D43" s="6"/>
    </row>
    <row r="44" spans="3:5" x14ac:dyDescent="0.25">
      <c r="C44" s="5" t="s">
        <v>33</v>
      </c>
      <c r="D44" s="6"/>
    </row>
    <row r="45" spans="3:5" x14ac:dyDescent="0.25">
      <c r="C45" s="5" t="s">
        <v>34</v>
      </c>
      <c r="D45" s="6"/>
    </row>
    <row r="46" spans="3:5" x14ac:dyDescent="0.25">
      <c r="C46" s="5" t="s">
        <v>35</v>
      </c>
      <c r="D46" s="6"/>
    </row>
    <row r="47" spans="3:5" x14ac:dyDescent="0.25">
      <c r="C47" s="3" t="s">
        <v>36</v>
      </c>
      <c r="D47" s="4"/>
    </row>
    <row r="48" spans="3:5" x14ac:dyDescent="0.25">
      <c r="C48" s="5" t="s">
        <v>37</v>
      </c>
      <c r="D48" s="6"/>
    </row>
    <row r="49" spans="3:5" x14ac:dyDescent="0.25">
      <c r="C49" s="5" t="s">
        <v>38</v>
      </c>
      <c r="D49" s="6"/>
    </row>
    <row r="50" spans="3:5" x14ac:dyDescent="0.25">
      <c r="C50" s="5" t="s">
        <v>39</v>
      </c>
      <c r="D50" s="6"/>
    </row>
    <row r="51" spans="3:5" x14ac:dyDescent="0.25">
      <c r="C51" s="5" t="s">
        <v>40</v>
      </c>
      <c r="D51" s="6"/>
    </row>
    <row r="52" spans="3:5" x14ac:dyDescent="0.25">
      <c r="C52" s="5" t="s">
        <v>41</v>
      </c>
      <c r="D52" s="6"/>
    </row>
    <row r="53" spans="3:5" x14ac:dyDescent="0.25">
      <c r="C53" s="5" t="s">
        <v>42</v>
      </c>
      <c r="D53" s="6"/>
    </row>
    <row r="54" spans="3:5" x14ac:dyDescent="0.25">
      <c r="C54" s="3" t="s">
        <v>43</v>
      </c>
      <c r="D54" s="4">
        <f>D55+D58+D59</f>
        <v>2065000</v>
      </c>
      <c r="E54" s="4">
        <f>E55+E58+E59+E56+E62</f>
        <v>4845000</v>
      </c>
    </row>
    <row r="55" spans="3:5" x14ac:dyDescent="0.25">
      <c r="C55" s="5" t="s">
        <v>44</v>
      </c>
      <c r="D55" s="6">
        <v>1965000</v>
      </c>
      <c r="E55" s="6">
        <v>1512000</v>
      </c>
    </row>
    <row r="56" spans="3:5" x14ac:dyDescent="0.25">
      <c r="C56" s="5" t="s">
        <v>45</v>
      </c>
      <c r="D56" s="6"/>
      <c r="E56" s="6"/>
    </row>
    <row r="57" spans="3:5" x14ac:dyDescent="0.25">
      <c r="C57" s="5" t="s">
        <v>46</v>
      </c>
      <c r="D57" s="6"/>
    </row>
    <row r="58" spans="3:5" x14ac:dyDescent="0.25">
      <c r="C58" s="5" t="s">
        <v>47</v>
      </c>
      <c r="D58" s="6"/>
      <c r="E58" s="6"/>
    </row>
    <row r="59" spans="3:5" x14ac:dyDescent="0.25">
      <c r="C59" s="5" t="s">
        <v>48</v>
      </c>
      <c r="D59" s="6">
        <v>100000</v>
      </c>
      <c r="E59" s="6">
        <v>3103000</v>
      </c>
    </row>
    <row r="60" spans="3:5" x14ac:dyDescent="0.25">
      <c r="C60" s="5" t="s">
        <v>49</v>
      </c>
      <c r="D60" s="6"/>
    </row>
    <row r="61" spans="3:5" x14ac:dyDescent="0.25">
      <c r="C61" s="5" t="s">
        <v>50</v>
      </c>
      <c r="D61" s="6"/>
    </row>
    <row r="62" spans="3:5" x14ac:dyDescent="0.25">
      <c r="C62" s="5" t="s">
        <v>51</v>
      </c>
      <c r="D62" s="6"/>
      <c r="E62" s="6">
        <v>230000</v>
      </c>
    </row>
    <row r="63" spans="3:5" x14ac:dyDescent="0.25">
      <c r="C63" s="5" t="s">
        <v>52</v>
      </c>
      <c r="D63" s="6"/>
    </row>
    <row r="64" spans="3:5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67</v>
      </c>
      <c r="D76" s="2"/>
      <c r="E76" s="2"/>
    </row>
    <row r="77" spans="3:5" x14ac:dyDescent="0.25">
      <c r="C77" s="3" t="s">
        <v>68</v>
      </c>
      <c r="D77" s="4"/>
    </row>
    <row r="78" spans="3:5" x14ac:dyDescent="0.25">
      <c r="C78" s="5" t="s">
        <v>69</v>
      </c>
      <c r="D78" s="6"/>
    </row>
    <row r="79" spans="3:5" x14ac:dyDescent="0.25">
      <c r="C79" s="5" t="s">
        <v>70</v>
      </c>
      <c r="D79" s="6"/>
    </row>
    <row r="80" spans="3:5" x14ac:dyDescent="0.25">
      <c r="C80" s="3" t="s">
        <v>71</v>
      </c>
      <c r="D80" s="4"/>
    </row>
    <row r="81" spans="3:5" x14ac:dyDescent="0.25">
      <c r="C81" s="5" t="s">
        <v>72</v>
      </c>
      <c r="D81" s="6"/>
    </row>
    <row r="82" spans="3:5" x14ac:dyDescent="0.25">
      <c r="C82" s="5" t="s">
        <v>73</v>
      </c>
      <c r="D82" s="6"/>
    </row>
    <row r="83" spans="3:5" x14ac:dyDescent="0.25">
      <c r="C83" s="3" t="s">
        <v>74</v>
      </c>
      <c r="D83" s="4"/>
    </row>
    <row r="84" spans="3:5" x14ac:dyDescent="0.25">
      <c r="C84" s="5" t="s">
        <v>75</v>
      </c>
      <c r="D84" s="6"/>
    </row>
    <row r="85" spans="3:5" x14ac:dyDescent="0.25">
      <c r="C85" s="9" t="s">
        <v>65</v>
      </c>
      <c r="D85" s="23">
        <f>D54+D38+D28+D18+D12</f>
        <v>315213767</v>
      </c>
      <c r="E85" s="23">
        <f>E54+E38+E28+E18+E12</f>
        <v>335213767</v>
      </c>
    </row>
    <row r="90" spans="3:5" ht="15.75" thickBot="1" x14ac:dyDescent="0.3"/>
    <row r="91" spans="3:5" ht="26.25" customHeight="1" thickBot="1" x14ac:dyDescent="0.3">
      <c r="C91" s="22" t="s">
        <v>95</v>
      </c>
    </row>
    <row r="92" spans="3:5" ht="33.75" customHeight="1" thickBot="1" x14ac:dyDescent="0.3">
      <c r="C92" s="20" t="s">
        <v>96</v>
      </c>
    </row>
    <row r="93" spans="3:5" ht="60.75" thickBot="1" x14ac:dyDescent="0.3">
      <c r="C93" s="21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31496062992125984" right="0.31496062992125984" top="0.35433070866141736" bottom="0.35433070866141736" header="0.31496062992125984" footer="0.31496062992125984"/>
  <pageSetup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0"/>
  <sheetViews>
    <sheetView showGridLines="0" tabSelected="1" workbookViewId="0">
      <selection activeCell="E21" sqref="E21"/>
    </sheetView>
  </sheetViews>
  <sheetFormatPr defaultColWidth="11.42578125" defaultRowHeight="15" x14ac:dyDescent="0.25"/>
  <cols>
    <col min="1" max="1" width="61.85546875" customWidth="1"/>
    <col min="2" max="2" width="16.28515625" customWidth="1"/>
    <col min="3" max="3" width="15.42578125" customWidth="1"/>
    <col min="4" max="4" width="13.140625" customWidth="1"/>
    <col min="5" max="5" width="13.85546875" customWidth="1"/>
    <col min="6" max="6" width="12.85546875" customWidth="1"/>
    <col min="7" max="7" width="13.28515625" customWidth="1"/>
    <col min="8" max="8" width="13.7109375" customWidth="1"/>
    <col min="9" max="9" width="13" customWidth="1"/>
    <col min="10" max="10" width="12.85546875" customWidth="1"/>
    <col min="11" max="11" width="14.5703125" customWidth="1"/>
    <col min="12" max="12" width="9" customWidth="1"/>
    <col min="13" max="13" width="6.7109375" customWidth="1"/>
    <col min="14" max="14" width="6.42578125" customWidth="1"/>
    <col min="15" max="15" width="7.28515625" customWidth="1"/>
    <col min="16" max="16" width="15.5703125" customWidth="1"/>
  </cols>
  <sheetData>
    <row r="1" spans="1:17" ht="28.5" customHeight="1" x14ac:dyDescent="0.25">
      <c r="A1" s="49" t="s">
        <v>98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7" ht="21" customHeight="1" x14ac:dyDescent="0.25">
      <c r="A2" s="51" t="s">
        <v>100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7" ht="15.75" x14ac:dyDescent="0.25">
      <c r="A3" s="43">
        <v>2023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7" ht="15.75" customHeight="1" x14ac:dyDescent="0.25">
      <c r="A4" s="38" t="s">
        <v>92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7" ht="15.75" customHeight="1" x14ac:dyDescent="0.25">
      <c r="A5" s="39" t="s">
        <v>77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7" ht="4.5" customHeight="1" x14ac:dyDescent="0.25"/>
    <row r="7" spans="1:17" ht="25.5" customHeight="1" x14ac:dyDescent="0.25">
      <c r="A7" s="40" t="s">
        <v>66</v>
      </c>
      <c r="B7" s="41" t="s">
        <v>94</v>
      </c>
      <c r="C7" s="41" t="s">
        <v>93</v>
      </c>
      <c r="D7" s="46" t="s">
        <v>91</v>
      </c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8"/>
    </row>
    <row r="8" spans="1:17" x14ac:dyDescent="0.25">
      <c r="A8" s="40"/>
      <c r="B8" s="42"/>
      <c r="C8" s="42"/>
      <c r="D8" s="15" t="s">
        <v>79</v>
      </c>
      <c r="E8" s="15" t="s">
        <v>80</v>
      </c>
      <c r="F8" s="15" t="s">
        <v>81</v>
      </c>
      <c r="G8" s="15" t="s">
        <v>82</v>
      </c>
      <c r="H8" s="16" t="s">
        <v>83</v>
      </c>
      <c r="I8" s="15" t="s">
        <v>84</v>
      </c>
      <c r="J8" s="16" t="s">
        <v>85</v>
      </c>
      <c r="K8" s="15" t="s">
        <v>86</v>
      </c>
      <c r="L8" s="15" t="s">
        <v>112</v>
      </c>
      <c r="M8" s="15" t="s">
        <v>115</v>
      </c>
      <c r="N8" s="15" t="s">
        <v>113</v>
      </c>
      <c r="O8" s="16" t="s">
        <v>114</v>
      </c>
      <c r="P8" s="15" t="s">
        <v>78</v>
      </c>
    </row>
    <row r="9" spans="1:17" x14ac:dyDescent="0.25">
      <c r="A9" s="1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7" x14ac:dyDescent="0.25">
      <c r="A10" s="3" t="s">
        <v>1</v>
      </c>
      <c r="B10" s="25">
        <f>B11+B12+B15</f>
        <v>201090287</v>
      </c>
      <c r="C10" s="25">
        <f>C11+C12+C15</f>
        <v>207066153</v>
      </c>
      <c r="D10" s="25">
        <f t="shared" ref="D10:O10" si="0">D11+D12+D15</f>
        <v>14650701.149999999</v>
      </c>
      <c r="E10" s="25">
        <f t="shared" si="0"/>
        <v>14449534.359999999</v>
      </c>
      <c r="F10" s="25">
        <f t="shared" si="0"/>
        <v>14278573.42</v>
      </c>
      <c r="G10" s="25">
        <f t="shared" si="0"/>
        <v>25352064.809999999</v>
      </c>
      <c r="H10" s="25">
        <f t="shared" si="0"/>
        <v>14652646.32</v>
      </c>
      <c r="I10" s="25">
        <f>I11+I12+I15</f>
        <v>14760392.779999999</v>
      </c>
      <c r="J10" s="25">
        <f>J11+J12+J15</f>
        <v>15348424.140000001</v>
      </c>
      <c r="K10" s="25">
        <f t="shared" si="0"/>
        <v>15120824.280000001</v>
      </c>
      <c r="L10" s="25">
        <f t="shared" si="0"/>
        <v>0</v>
      </c>
      <c r="M10" s="25">
        <f t="shared" si="0"/>
        <v>0</v>
      </c>
      <c r="N10" s="25">
        <f t="shared" si="0"/>
        <v>0</v>
      </c>
      <c r="O10" s="25">
        <f t="shared" si="0"/>
        <v>0</v>
      </c>
      <c r="P10" s="25">
        <f>SUM(D10:O10)</f>
        <v>128613161.26000001</v>
      </c>
    </row>
    <row r="11" spans="1:17" x14ac:dyDescent="0.25">
      <c r="A11" s="5" t="s">
        <v>2</v>
      </c>
      <c r="B11" s="24">
        <v>162971440</v>
      </c>
      <c r="C11" s="24">
        <v>169529877</v>
      </c>
      <c r="D11" s="24">
        <f>11437160.16+85000+547515+524511.54</f>
        <v>12594186.699999999</v>
      </c>
      <c r="E11" s="24">
        <f>11612230.09+188000+457600+104082.83</f>
        <v>12361912.92</v>
      </c>
      <c r="F11" s="24">
        <f>11595163.42+151500+68500+379845.41</f>
        <v>12195008.83</v>
      </c>
      <c r="G11" s="24">
        <v>23219626.129999999</v>
      </c>
      <c r="H11" s="24">
        <v>12450963.42</v>
      </c>
      <c r="I11" s="24">
        <f>12093363.42+151500+255000+89755.43</f>
        <v>12589618.85</v>
      </c>
      <c r="J11" s="24">
        <f>7008190.73+100000+66912.78+5262972.69+624739.91</f>
        <v>13062816.110000001</v>
      </c>
      <c r="K11" s="24">
        <f>11968063.42+761133.3+46000+107521.92</f>
        <v>12882718.640000001</v>
      </c>
      <c r="L11" s="24">
        <v>0</v>
      </c>
      <c r="M11" s="24">
        <v>0</v>
      </c>
      <c r="N11" s="24">
        <v>0</v>
      </c>
      <c r="O11" s="24">
        <v>0</v>
      </c>
      <c r="P11" s="24">
        <f>SUM(D11:O11)</f>
        <v>111356851.59999999</v>
      </c>
    </row>
    <row r="12" spans="1:17" x14ac:dyDescent="0.25">
      <c r="A12" s="5" t="s">
        <v>3</v>
      </c>
      <c r="B12" s="24">
        <v>16002000</v>
      </c>
      <c r="C12" s="24">
        <v>14773547</v>
      </c>
      <c r="D12" s="24">
        <v>333500</v>
      </c>
      <c r="E12" s="24">
        <v>326500</v>
      </c>
      <c r="F12" s="24">
        <v>333500</v>
      </c>
      <c r="G12" s="24">
        <v>333500</v>
      </c>
      <c r="H12" s="24">
        <v>333500</v>
      </c>
      <c r="I12" s="24">
        <v>333500</v>
      </c>
      <c r="J12" s="24">
        <v>333500</v>
      </c>
      <c r="K12" s="24">
        <v>326500</v>
      </c>
      <c r="L12" s="24">
        <v>0</v>
      </c>
      <c r="M12" s="24">
        <v>0</v>
      </c>
      <c r="N12" s="24">
        <v>0</v>
      </c>
      <c r="O12" s="24">
        <v>0</v>
      </c>
      <c r="P12" s="24">
        <f>SUM(D12:O12)</f>
        <v>2654000</v>
      </c>
    </row>
    <row r="13" spans="1:17" x14ac:dyDescent="0.25">
      <c r="A13" s="5" t="s">
        <v>4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17"/>
    </row>
    <row r="14" spans="1:17" x14ac:dyDescent="0.25">
      <c r="A14" s="5" t="s">
        <v>5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1:17" x14ac:dyDescent="0.25">
      <c r="A15" s="5" t="s">
        <v>6</v>
      </c>
      <c r="B15" s="24">
        <v>22116847</v>
      </c>
      <c r="C15" s="24">
        <v>22762729</v>
      </c>
      <c r="D15" s="24">
        <f>423326.8+426914.65+52985.16+380548.92+391158.71+48080.21</f>
        <v>1723014.45</v>
      </c>
      <c r="E15" s="24">
        <f>820940.99+837816.32+102364.13</f>
        <v>1761121.44</v>
      </c>
      <c r="F15" s="24">
        <f>814661.6+834013.09+101389.9</f>
        <v>1750064.5899999999</v>
      </c>
      <c r="G15" s="24">
        <v>1798938.68</v>
      </c>
      <c r="H15" s="24">
        <v>1868182.9</v>
      </c>
      <c r="I15" s="24">
        <f>860014.59+869385.29+107874.05</f>
        <v>1837273.93</v>
      </c>
      <c r="J15" s="24">
        <v>1952108.03</v>
      </c>
      <c r="K15" s="24">
        <f>894353.79+903772.99+113478.86</f>
        <v>1911605.6400000001</v>
      </c>
      <c r="L15" s="24">
        <v>0</v>
      </c>
      <c r="M15" s="24">
        <v>0</v>
      </c>
      <c r="N15" s="24">
        <v>0</v>
      </c>
      <c r="O15" s="24">
        <v>0</v>
      </c>
      <c r="P15" s="24">
        <f t="shared" ref="P15:P25" si="1">SUM(D15:O15)</f>
        <v>14602309.659999998</v>
      </c>
    </row>
    <row r="16" spans="1:17" x14ac:dyDescent="0.25">
      <c r="A16" s="3" t="s">
        <v>7</v>
      </c>
      <c r="B16" s="25">
        <f>B17+B18+B19+B20+B21+B22+B23+B24+B25</f>
        <v>94648456</v>
      </c>
      <c r="C16" s="25">
        <f>C17+C18+C19+C20+C21+C22+C23+C24+C25</f>
        <v>107434345</v>
      </c>
      <c r="D16" s="25">
        <f t="shared" ref="D16:N16" si="2">D17+D18+D19+D20+D21+D22+D23+D24</f>
        <v>3346878.98</v>
      </c>
      <c r="E16" s="25">
        <f>E17+E18+E19+E20+E21+E22+E23+E24+E25</f>
        <v>3399937.1299999994</v>
      </c>
      <c r="F16" s="25">
        <f t="shared" si="2"/>
        <v>3778704.9499999997</v>
      </c>
      <c r="G16" s="25">
        <f t="shared" si="2"/>
        <v>6447053.0999999996</v>
      </c>
      <c r="H16" s="25">
        <f>H17+H18+H19+H20+H21+H22+H23+H24+H25</f>
        <v>6265516.1600000001</v>
      </c>
      <c r="I16" s="25">
        <f>I17+I18+I19+I20+I21+I22+I23+I24+I25</f>
        <v>5281734.8600000003</v>
      </c>
      <c r="J16" s="25">
        <f>J17+J18+J19+J20+J21+J22+J23+J24+J25</f>
        <v>4913524.29</v>
      </c>
      <c r="K16" s="25">
        <f>K17+K18+K19+K20+K21+K22+K23+K24+K25</f>
        <v>10424438.930000002</v>
      </c>
      <c r="L16" s="25">
        <f t="shared" si="2"/>
        <v>0</v>
      </c>
      <c r="M16" s="25">
        <f t="shared" si="2"/>
        <v>0</v>
      </c>
      <c r="N16" s="25">
        <f t="shared" si="2"/>
        <v>0</v>
      </c>
      <c r="O16" s="25">
        <f>O17+O18+O19+O20+O21+O22+O23+O24+O25</f>
        <v>0</v>
      </c>
      <c r="P16" s="25">
        <f t="shared" si="1"/>
        <v>43857788.399999999</v>
      </c>
    </row>
    <row r="17" spans="1:16" x14ac:dyDescent="0.25">
      <c r="A17" s="5" t="s">
        <v>8</v>
      </c>
      <c r="B17" s="24">
        <v>22382750</v>
      </c>
      <c r="C17" s="24">
        <v>24482750</v>
      </c>
      <c r="D17" s="24">
        <f>595154.24+277731.45+850178.77+597571.88</f>
        <v>2320636.34</v>
      </c>
      <c r="E17" s="24">
        <f>454347.01+242816.71+759296.66+680353.58</f>
        <v>2136813.96</v>
      </c>
      <c r="F17" s="24">
        <f>516422.87+245320.83+980623.85+559347.81</f>
        <v>2301715.36</v>
      </c>
      <c r="G17" s="24">
        <v>2103200.3199999998</v>
      </c>
      <c r="H17" s="24">
        <f>478675.46+235306.88+882139.77+575279.5</f>
        <v>2171401.6100000003</v>
      </c>
      <c r="I17" s="24">
        <f>452743.95+233843.57+892567.9+620321.14</f>
        <v>2199476.56</v>
      </c>
      <c r="J17" s="24">
        <f>418929.89+248477.89+906607.46+663272.47</f>
        <v>2237287.71</v>
      </c>
      <c r="K17" s="24">
        <f>644642.34+334958.07+918716.57+688897.64+44900+15100</f>
        <v>2647214.62</v>
      </c>
      <c r="L17" s="24">
        <v>0</v>
      </c>
      <c r="M17" s="24">
        <v>0</v>
      </c>
      <c r="N17" s="24">
        <v>0</v>
      </c>
      <c r="O17" s="24">
        <v>0</v>
      </c>
      <c r="P17" s="24">
        <f t="shared" si="1"/>
        <v>18117746.48</v>
      </c>
    </row>
    <row r="18" spans="1:16" x14ac:dyDescent="0.25">
      <c r="A18" s="5" t="s">
        <v>9</v>
      </c>
      <c r="B18" s="24">
        <v>700000</v>
      </c>
      <c r="C18" s="24">
        <v>526000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36541.71</v>
      </c>
      <c r="L18" s="24">
        <v>0</v>
      </c>
      <c r="M18" s="24">
        <v>0</v>
      </c>
      <c r="N18" s="24">
        <v>0</v>
      </c>
      <c r="O18" s="24">
        <v>0</v>
      </c>
      <c r="P18" s="24">
        <f t="shared" si="1"/>
        <v>36541.71</v>
      </c>
    </row>
    <row r="19" spans="1:16" x14ac:dyDescent="0.25">
      <c r="A19" s="5" t="s">
        <v>10</v>
      </c>
      <c r="B19" s="24">
        <v>4200000</v>
      </c>
      <c r="C19" s="24">
        <v>4200000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1758495</v>
      </c>
      <c r="L19" s="24">
        <v>0</v>
      </c>
      <c r="M19" s="24">
        <v>0</v>
      </c>
      <c r="N19" s="24">
        <v>0</v>
      </c>
      <c r="O19" s="24">
        <v>0</v>
      </c>
      <c r="P19" s="24">
        <f t="shared" si="1"/>
        <v>1758495</v>
      </c>
    </row>
    <row r="20" spans="1:16" x14ac:dyDescent="0.25">
      <c r="A20" s="5" t="s">
        <v>11</v>
      </c>
      <c r="B20" s="24">
        <v>2720000</v>
      </c>
      <c r="C20" s="24">
        <v>2776000</v>
      </c>
      <c r="D20" s="24">
        <v>0</v>
      </c>
      <c r="E20" s="24">
        <v>0</v>
      </c>
      <c r="F20" s="24">
        <v>0</v>
      </c>
      <c r="G20" s="24">
        <v>0</v>
      </c>
      <c r="H20" s="24">
        <v>50000</v>
      </c>
      <c r="I20" s="24">
        <v>0</v>
      </c>
      <c r="J20" s="24">
        <v>0</v>
      </c>
      <c r="K20" s="24">
        <f>211574.63+20250+6500</f>
        <v>238324.63</v>
      </c>
      <c r="L20" s="24">
        <v>0</v>
      </c>
      <c r="M20" s="24">
        <v>0</v>
      </c>
      <c r="N20" s="24">
        <v>0</v>
      </c>
      <c r="O20" s="24">
        <v>0</v>
      </c>
      <c r="P20" s="24">
        <f t="shared" si="1"/>
        <v>288324.63</v>
      </c>
    </row>
    <row r="21" spans="1:16" x14ac:dyDescent="0.25">
      <c r="A21" s="5" t="s">
        <v>12</v>
      </c>
      <c r="B21" s="24">
        <v>20595526</v>
      </c>
      <c r="C21" s="24">
        <v>20325251</v>
      </c>
      <c r="D21" s="24">
        <v>0</v>
      </c>
      <c r="E21" s="24">
        <v>323839.96999999997</v>
      </c>
      <c r="F21" s="24">
        <f>96190.65+55664.4</f>
        <v>151855.04999999999</v>
      </c>
      <c r="G21" s="24">
        <v>3163979.22</v>
      </c>
      <c r="H21" s="24">
        <f>1547525.65+97350+77408</f>
        <v>1722283.65</v>
      </c>
      <c r="I21" s="24">
        <f>1116376.22+97350</f>
        <v>1213726.22</v>
      </c>
      <c r="J21" s="24">
        <v>1682326.22</v>
      </c>
      <c r="K21" s="24">
        <f>3302955.78+269647.11</f>
        <v>3572602.8899999997</v>
      </c>
      <c r="L21" s="24">
        <v>0</v>
      </c>
      <c r="M21" s="24">
        <v>0</v>
      </c>
      <c r="N21" s="24">
        <v>0</v>
      </c>
      <c r="O21" s="24">
        <v>0</v>
      </c>
      <c r="P21" s="24">
        <f t="shared" si="1"/>
        <v>11830613.219999999</v>
      </c>
    </row>
    <row r="22" spans="1:16" x14ac:dyDescent="0.25">
      <c r="A22" s="5" t="s">
        <v>13</v>
      </c>
      <c r="B22" s="24">
        <v>13398400</v>
      </c>
      <c r="C22" s="24">
        <v>13289830</v>
      </c>
      <c r="D22" s="24">
        <v>1026242.64</v>
      </c>
      <c r="E22" s="24">
        <v>698548.14</v>
      </c>
      <c r="F22" s="24">
        <v>1325134.54</v>
      </c>
      <c r="G22" s="24">
        <v>1179873.56</v>
      </c>
      <c r="H22" s="24">
        <v>1319951.22</v>
      </c>
      <c r="I22" s="24">
        <f>266199.7+1059627.72</f>
        <v>1325827.42</v>
      </c>
      <c r="J22" s="24">
        <v>641188.48</v>
      </c>
      <c r="K22" s="24">
        <v>988271.8</v>
      </c>
      <c r="L22" s="24">
        <v>0</v>
      </c>
      <c r="M22" s="24">
        <v>0</v>
      </c>
      <c r="N22" s="24">
        <v>0</v>
      </c>
      <c r="O22" s="24">
        <v>0</v>
      </c>
      <c r="P22" s="24">
        <f t="shared" si="1"/>
        <v>8505037.8000000007</v>
      </c>
    </row>
    <row r="23" spans="1:16" ht="30" x14ac:dyDescent="0.25">
      <c r="A23" s="29" t="s">
        <v>14</v>
      </c>
      <c r="B23" s="24">
        <v>2156200</v>
      </c>
      <c r="C23" s="24">
        <v>4962700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f>301246.82+194012.6+6490</f>
        <v>501749.42000000004</v>
      </c>
      <c r="L23" s="24">
        <v>0</v>
      </c>
      <c r="M23" s="24">
        <v>0</v>
      </c>
      <c r="N23" s="24">
        <v>0</v>
      </c>
      <c r="O23" s="24">
        <v>0</v>
      </c>
      <c r="P23" s="24">
        <f t="shared" si="1"/>
        <v>501749.42000000004</v>
      </c>
    </row>
    <row r="24" spans="1:16" x14ac:dyDescent="0.25">
      <c r="A24" s="29" t="s">
        <v>15</v>
      </c>
      <c r="B24" s="24">
        <v>25715580</v>
      </c>
      <c r="C24" s="24">
        <v>33180814</v>
      </c>
      <c r="D24" s="24">
        <v>0</v>
      </c>
      <c r="E24" s="24">
        <v>131643.53</v>
      </c>
      <c r="F24" s="24">
        <v>0</v>
      </c>
      <c r="G24" s="24">
        <v>0</v>
      </c>
      <c r="H24" s="24">
        <v>696200</v>
      </c>
      <c r="I24" s="24">
        <v>206100</v>
      </c>
      <c r="J24" s="24">
        <f>118935.88+53690+55696+124400</f>
        <v>352721.88</v>
      </c>
      <c r="K24" s="24">
        <f>5672.69+13688+66000+25075+57558.11</f>
        <v>167993.8</v>
      </c>
      <c r="L24" s="24">
        <v>0</v>
      </c>
      <c r="M24" s="24">
        <v>0</v>
      </c>
      <c r="N24" s="24">
        <v>0</v>
      </c>
      <c r="O24" s="24">
        <v>0</v>
      </c>
      <c r="P24" s="24">
        <f t="shared" si="1"/>
        <v>1554659.2100000002</v>
      </c>
    </row>
    <row r="25" spans="1:16" x14ac:dyDescent="0.25">
      <c r="A25" s="29" t="s">
        <v>16</v>
      </c>
      <c r="B25" s="24">
        <v>2780000</v>
      </c>
      <c r="C25" s="24">
        <v>3691000</v>
      </c>
      <c r="D25" s="24">
        <v>0</v>
      </c>
      <c r="E25" s="24">
        <v>109091.53</v>
      </c>
      <c r="F25" s="24">
        <v>0</v>
      </c>
      <c r="G25" s="24">
        <v>0</v>
      </c>
      <c r="H25" s="24">
        <v>305679.68</v>
      </c>
      <c r="I25" s="24">
        <v>336604.66</v>
      </c>
      <c r="J25" s="24">
        <v>0</v>
      </c>
      <c r="K25" s="24">
        <v>513245.06</v>
      </c>
      <c r="L25" s="24">
        <v>0</v>
      </c>
      <c r="M25" s="24">
        <v>0</v>
      </c>
      <c r="N25" s="24">
        <v>0</v>
      </c>
      <c r="O25" s="24">
        <v>0</v>
      </c>
      <c r="P25" s="24">
        <f t="shared" si="1"/>
        <v>1264620.93</v>
      </c>
    </row>
    <row r="26" spans="1:16" x14ac:dyDescent="0.25">
      <c r="A26" s="29" t="s">
        <v>17</v>
      </c>
      <c r="B26" s="25">
        <f>B27+B28+B29+B30+B31+B32+B33+B35</f>
        <v>17410024</v>
      </c>
      <c r="C26" s="25">
        <f>C27+C28+C29+C30+C31+C32+C33+C35</f>
        <v>15844269</v>
      </c>
      <c r="D26" s="25">
        <f t="shared" ref="D26:P26" si="3">D27+D28+D29+D30+D31+D32+D33+D35</f>
        <v>716147</v>
      </c>
      <c r="E26" s="25">
        <f t="shared" si="3"/>
        <v>0</v>
      </c>
      <c r="F26" s="25">
        <f>F27+F28+F29+F30+F31+F32+F33+F35</f>
        <v>1482603.54</v>
      </c>
      <c r="G26" s="25">
        <f t="shared" si="3"/>
        <v>0</v>
      </c>
      <c r="H26" s="25">
        <f>H27+H28+H29+H30+H31+H32+H33+H35</f>
        <v>896335.05</v>
      </c>
      <c r="I26" s="25">
        <f>I27+I28+I29+I30+I31+I32+I33+I35</f>
        <v>448073.74</v>
      </c>
      <c r="J26" s="25">
        <f>J27+J28+J29+J30+J31+J32+J33+J35</f>
        <v>107462</v>
      </c>
      <c r="K26" s="25">
        <f t="shared" si="3"/>
        <v>3769152.1700000004</v>
      </c>
      <c r="L26" s="25">
        <f t="shared" si="3"/>
        <v>0</v>
      </c>
      <c r="M26" s="25">
        <f t="shared" si="3"/>
        <v>0</v>
      </c>
      <c r="N26" s="25">
        <f t="shared" si="3"/>
        <v>0</v>
      </c>
      <c r="O26" s="25">
        <f t="shared" si="3"/>
        <v>0</v>
      </c>
      <c r="P26" s="25">
        <f t="shared" si="3"/>
        <v>7419773.5</v>
      </c>
    </row>
    <row r="27" spans="1:16" x14ac:dyDescent="0.25">
      <c r="A27" s="29" t="s">
        <v>18</v>
      </c>
      <c r="B27" s="24">
        <v>5385000</v>
      </c>
      <c r="C27" s="24">
        <v>873300</v>
      </c>
      <c r="D27" s="24">
        <v>0</v>
      </c>
      <c r="E27" s="24">
        <v>0</v>
      </c>
      <c r="F27" s="24">
        <v>6580</v>
      </c>
      <c r="G27" s="24">
        <v>0</v>
      </c>
      <c r="H27" s="24">
        <f>120076.78+12242.5</f>
        <v>132319.28</v>
      </c>
      <c r="I27" s="24">
        <v>185709.9</v>
      </c>
      <c r="J27" s="24">
        <v>7280</v>
      </c>
      <c r="K27" s="24">
        <f>148599.03+30836.79+1155</f>
        <v>180590.82</v>
      </c>
      <c r="L27" s="24">
        <v>0</v>
      </c>
      <c r="M27" s="24">
        <v>0</v>
      </c>
      <c r="N27" s="24">
        <v>0</v>
      </c>
      <c r="O27" s="24">
        <v>0</v>
      </c>
      <c r="P27" s="24">
        <f t="shared" ref="P27:P34" si="4">SUM(D27:O27)</f>
        <v>512480</v>
      </c>
    </row>
    <row r="28" spans="1:16" x14ac:dyDescent="0.25">
      <c r="A28" s="29" t="s">
        <v>19</v>
      </c>
      <c r="B28" s="24">
        <v>308000</v>
      </c>
      <c r="C28" s="24">
        <v>471000</v>
      </c>
      <c r="D28" s="24">
        <v>0</v>
      </c>
      <c r="E28" s="24">
        <v>0</v>
      </c>
      <c r="F28" s="24">
        <v>0</v>
      </c>
      <c r="G28" s="24">
        <v>0</v>
      </c>
      <c r="H28" s="24">
        <v>4099.9799999999996</v>
      </c>
      <c r="I28" s="24">
        <v>103604</v>
      </c>
      <c r="J28" s="24">
        <v>0</v>
      </c>
      <c r="K28" s="24">
        <v>560</v>
      </c>
      <c r="L28" s="24">
        <v>0</v>
      </c>
      <c r="M28" s="24">
        <v>0</v>
      </c>
      <c r="N28" s="24">
        <v>0</v>
      </c>
      <c r="O28" s="24">
        <v>0</v>
      </c>
      <c r="P28" s="24">
        <f t="shared" si="4"/>
        <v>108263.98</v>
      </c>
    </row>
    <row r="29" spans="1:16" x14ac:dyDescent="0.25">
      <c r="A29" s="29" t="s">
        <v>20</v>
      </c>
      <c r="B29" s="24">
        <v>675000</v>
      </c>
      <c r="C29" s="24">
        <v>677000</v>
      </c>
      <c r="D29" s="24">
        <v>0</v>
      </c>
      <c r="E29" s="24">
        <v>0</v>
      </c>
      <c r="F29" s="24">
        <v>0</v>
      </c>
      <c r="G29" s="24">
        <v>0</v>
      </c>
      <c r="H29" s="24">
        <f>5249.82+73899.86+33420.5</f>
        <v>112570.18</v>
      </c>
      <c r="I29" s="24">
        <v>0</v>
      </c>
      <c r="J29" s="24">
        <v>0</v>
      </c>
      <c r="K29" s="24">
        <f>803.95+13600+1888</f>
        <v>16291.95</v>
      </c>
      <c r="L29" s="24">
        <v>0</v>
      </c>
      <c r="M29" s="24">
        <v>0</v>
      </c>
      <c r="N29" s="24">
        <v>0</v>
      </c>
      <c r="O29" s="24">
        <v>0</v>
      </c>
      <c r="P29" s="24">
        <f t="shared" si="4"/>
        <v>128862.12999999999</v>
      </c>
    </row>
    <row r="30" spans="1:16" x14ac:dyDescent="0.25">
      <c r="A30" s="29" t="s">
        <v>21</v>
      </c>
      <c r="B30" s="24">
        <v>50000</v>
      </c>
      <c r="C30" s="24">
        <v>50000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f t="shared" si="4"/>
        <v>0</v>
      </c>
    </row>
    <row r="31" spans="1:16" x14ac:dyDescent="0.25">
      <c r="A31" s="29" t="s">
        <v>22</v>
      </c>
      <c r="B31" s="24">
        <v>385000</v>
      </c>
      <c r="C31" s="24">
        <v>399800</v>
      </c>
      <c r="D31" s="24">
        <v>0</v>
      </c>
      <c r="E31" s="24">
        <v>0</v>
      </c>
      <c r="F31" s="24">
        <v>0</v>
      </c>
      <c r="G31" s="24">
        <v>0</v>
      </c>
      <c r="H31" s="24">
        <v>34135.040000000001</v>
      </c>
      <c r="I31" s="24">
        <v>0</v>
      </c>
      <c r="J31" s="24">
        <v>0</v>
      </c>
      <c r="K31" s="24">
        <f>108019.77+14760.08</f>
        <v>122779.85</v>
      </c>
      <c r="L31" s="24">
        <v>0</v>
      </c>
      <c r="M31" s="24">
        <v>0</v>
      </c>
      <c r="N31" s="24">
        <v>0</v>
      </c>
      <c r="O31" s="24">
        <v>0</v>
      </c>
      <c r="P31" s="24">
        <f t="shared" si="4"/>
        <v>156914.89000000001</v>
      </c>
    </row>
    <row r="32" spans="1:16" x14ac:dyDescent="0.25">
      <c r="A32" s="29" t="s">
        <v>23</v>
      </c>
      <c r="B32" s="24">
        <v>120000</v>
      </c>
      <c r="C32" s="24">
        <v>130500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f>649+300+10280+2055+5749.05+3517.48</f>
        <v>22550.53</v>
      </c>
      <c r="L32" s="24">
        <v>0</v>
      </c>
      <c r="M32" s="24">
        <v>0</v>
      </c>
      <c r="N32" s="24">
        <v>0</v>
      </c>
      <c r="O32" s="24">
        <v>0</v>
      </c>
      <c r="P32" s="24">
        <f t="shared" si="4"/>
        <v>22550.53</v>
      </c>
    </row>
    <row r="33" spans="1:16" x14ac:dyDescent="0.25">
      <c r="A33" s="29" t="s">
        <v>24</v>
      </c>
      <c r="B33" s="24">
        <v>7350000</v>
      </c>
      <c r="C33" s="24">
        <v>10503945</v>
      </c>
      <c r="D33" s="24">
        <v>716147</v>
      </c>
      <c r="E33" s="24">
        <v>0</v>
      </c>
      <c r="F33" s="24">
        <v>1421500</v>
      </c>
      <c r="G33" s="24">
        <v>0</v>
      </c>
      <c r="H33" s="24">
        <v>400000</v>
      </c>
      <c r="I33" s="24">
        <v>0</v>
      </c>
      <c r="J33" s="24">
        <v>0</v>
      </c>
      <c r="K33" s="24">
        <f>3067558.4+33240+5440.08+3500+11014.99+5068.75+149+54263.68+26133.68</f>
        <v>3206368.5800000005</v>
      </c>
      <c r="L33" s="24">
        <v>0</v>
      </c>
      <c r="M33" s="24">
        <v>0</v>
      </c>
      <c r="N33" s="24">
        <v>0</v>
      </c>
      <c r="O33" s="24">
        <v>0</v>
      </c>
      <c r="P33" s="24">
        <f t="shared" si="4"/>
        <v>5744015.5800000001</v>
      </c>
    </row>
    <row r="34" spans="1:16" ht="30" x14ac:dyDescent="0.25">
      <c r="A34" s="29" t="s">
        <v>25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f t="shared" si="4"/>
        <v>0</v>
      </c>
    </row>
    <row r="35" spans="1:16" x14ac:dyDescent="0.25">
      <c r="A35" s="29" t="s">
        <v>26</v>
      </c>
      <c r="B35" s="24">
        <v>3137024</v>
      </c>
      <c r="C35" s="24">
        <v>2738724</v>
      </c>
      <c r="D35" s="24">
        <v>0</v>
      </c>
      <c r="E35" s="24">
        <v>0</v>
      </c>
      <c r="F35" s="24">
        <v>54523.54</v>
      </c>
      <c r="G35" s="24">
        <v>0</v>
      </c>
      <c r="H35" s="24">
        <f>48132.55+45174.73+59251.29+20650+40002</f>
        <v>213210.57</v>
      </c>
      <c r="I35" s="24">
        <v>158759.84</v>
      </c>
      <c r="J35" s="24">
        <f>28320+46020+25842</f>
        <v>100182</v>
      </c>
      <c r="K35" s="24">
        <f>6864.1+16637.74+3968.75+116457.34+33261.4+3854.99+5917.22+30998.98+2049.92</f>
        <v>220010.44</v>
      </c>
      <c r="L35" s="24">
        <v>0</v>
      </c>
      <c r="M35" s="24">
        <v>0</v>
      </c>
      <c r="N35" s="24">
        <v>0</v>
      </c>
      <c r="O35" s="24">
        <v>0</v>
      </c>
      <c r="P35" s="24">
        <f>SUM(D35:O35)</f>
        <v>746686.3899999999</v>
      </c>
    </row>
    <row r="36" spans="1:16" x14ac:dyDescent="0.25">
      <c r="A36" s="29" t="s">
        <v>27</v>
      </c>
      <c r="B36" s="25">
        <f>B37</f>
        <v>0</v>
      </c>
      <c r="C36" s="25">
        <f>C37</f>
        <v>24000</v>
      </c>
      <c r="D36" s="25">
        <f t="shared" ref="D36:P36" si="5">D37</f>
        <v>0</v>
      </c>
      <c r="E36" s="25">
        <f t="shared" si="5"/>
        <v>0</v>
      </c>
      <c r="F36" s="25">
        <f t="shared" si="5"/>
        <v>24000</v>
      </c>
      <c r="G36" s="25">
        <f t="shared" si="5"/>
        <v>0</v>
      </c>
      <c r="H36" s="25">
        <f t="shared" si="5"/>
        <v>0</v>
      </c>
      <c r="I36" s="25">
        <f t="shared" si="5"/>
        <v>0</v>
      </c>
      <c r="J36" s="25">
        <f t="shared" si="5"/>
        <v>0</v>
      </c>
      <c r="K36" s="25">
        <f t="shared" si="5"/>
        <v>0</v>
      </c>
      <c r="L36" s="25">
        <f t="shared" si="5"/>
        <v>0</v>
      </c>
      <c r="M36" s="25">
        <f t="shared" si="5"/>
        <v>0</v>
      </c>
      <c r="N36" s="25">
        <f t="shared" si="5"/>
        <v>0</v>
      </c>
      <c r="O36" s="25">
        <f t="shared" si="5"/>
        <v>0</v>
      </c>
      <c r="P36" s="25">
        <f t="shared" si="5"/>
        <v>24000</v>
      </c>
    </row>
    <row r="37" spans="1:16" x14ac:dyDescent="0.25">
      <c r="A37" s="29" t="s">
        <v>28</v>
      </c>
      <c r="B37" s="24">
        <v>0</v>
      </c>
      <c r="C37" s="24">
        <v>24000</v>
      </c>
      <c r="D37" s="24">
        <v>0</v>
      </c>
      <c r="E37" s="24">
        <v>0</v>
      </c>
      <c r="F37" s="24">
        <v>24000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f>SUM(D37:O37)</f>
        <v>24000</v>
      </c>
    </row>
    <row r="38" spans="1:16" x14ac:dyDescent="0.25">
      <c r="A38" s="29" t="s">
        <v>29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</row>
    <row r="39" spans="1:16" x14ac:dyDescent="0.25">
      <c r="A39" s="29" t="s">
        <v>30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</row>
    <row r="40" spans="1:16" ht="30" x14ac:dyDescent="0.25">
      <c r="A40" s="29" t="s">
        <v>31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</row>
    <row r="41" spans="1:16" ht="30" x14ac:dyDescent="0.25">
      <c r="A41" s="29" t="s">
        <v>32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</row>
    <row r="42" spans="1:16" x14ac:dyDescent="0.25">
      <c r="A42" s="29" t="s">
        <v>33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</row>
    <row r="43" spans="1:16" x14ac:dyDescent="0.25">
      <c r="A43" s="29" t="s">
        <v>34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</row>
    <row r="44" spans="1:16" x14ac:dyDescent="0.25">
      <c r="A44" s="29" t="s">
        <v>35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</row>
    <row r="45" spans="1:16" x14ac:dyDescent="0.25">
      <c r="A45" s="29" t="s">
        <v>36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</row>
    <row r="46" spans="1:16" x14ac:dyDescent="0.25">
      <c r="A46" s="29" t="s">
        <v>37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</row>
    <row r="47" spans="1:16" x14ac:dyDescent="0.25">
      <c r="A47" s="29" t="s">
        <v>38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</row>
    <row r="48" spans="1:16" x14ac:dyDescent="0.25">
      <c r="A48" s="29" t="s">
        <v>39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</row>
    <row r="49" spans="1:16" ht="30" x14ac:dyDescent="0.25">
      <c r="A49" s="29" t="s">
        <v>40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</row>
    <row r="50" spans="1:16" x14ac:dyDescent="0.25">
      <c r="A50" s="29" t="s">
        <v>41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</row>
    <row r="51" spans="1:16" x14ac:dyDescent="0.25">
      <c r="A51" s="29" t="s">
        <v>42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</row>
    <row r="52" spans="1:16" x14ac:dyDescent="0.25">
      <c r="A52" s="29" t="s">
        <v>43</v>
      </c>
      <c r="B52" s="25">
        <f>B53+B56+B57</f>
        <v>2065000</v>
      </c>
      <c r="C52" s="25">
        <f>C53+C56+C57+C54+C60</f>
        <v>4845000</v>
      </c>
      <c r="D52" s="25">
        <f>D53+D56+D57</f>
        <v>0</v>
      </c>
      <c r="E52" s="25">
        <f>E53+E56+E57</f>
        <v>0</v>
      </c>
      <c r="F52" s="25">
        <f>F53+F56+F57</f>
        <v>0</v>
      </c>
      <c r="G52" s="25">
        <f>G53+G56+G57</f>
        <v>0</v>
      </c>
      <c r="H52" s="25">
        <f>H53+H56+H57+H54</f>
        <v>100772</v>
      </c>
      <c r="I52" s="25">
        <f t="shared" ref="I52:N52" si="6">I53+I56+I57</f>
        <v>0</v>
      </c>
      <c r="J52" s="25">
        <f t="shared" si="6"/>
        <v>47189.38</v>
      </c>
      <c r="K52" s="25">
        <f t="shared" si="6"/>
        <v>483065.52</v>
      </c>
      <c r="L52" s="25">
        <f t="shared" si="6"/>
        <v>0</v>
      </c>
      <c r="M52" s="25">
        <f t="shared" si="6"/>
        <v>0</v>
      </c>
      <c r="N52" s="25">
        <f t="shared" si="6"/>
        <v>0</v>
      </c>
      <c r="O52" s="25">
        <f>O53+O56+O57+O54</f>
        <v>0</v>
      </c>
      <c r="P52" s="25">
        <f>SUM(D52:O52)</f>
        <v>631026.9</v>
      </c>
    </row>
    <row r="53" spans="1:16" x14ac:dyDescent="0.25">
      <c r="A53" s="29" t="s">
        <v>44</v>
      </c>
      <c r="B53" s="24">
        <v>1965000</v>
      </c>
      <c r="C53" s="24">
        <v>1512000</v>
      </c>
      <c r="D53" s="24">
        <v>0</v>
      </c>
      <c r="E53" s="24">
        <v>0</v>
      </c>
      <c r="F53" s="24">
        <v>0</v>
      </c>
      <c r="G53" s="24">
        <v>0</v>
      </c>
      <c r="H53" s="24">
        <v>100772</v>
      </c>
      <c r="I53" s="24">
        <v>0</v>
      </c>
      <c r="J53" s="24">
        <v>47189.38</v>
      </c>
      <c r="K53" s="24">
        <f>77950.8+44458.8</f>
        <v>122409.60000000001</v>
      </c>
      <c r="L53" s="24"/>
      <c r="M53" s="24"/>
      <c r="N53" s="24"/>
      <c r="O53" s="24"/>
      <c r="P53" s="24">
        <f>SUM(D53:O53)</f>
        <v>270370.98</v>
      </c>
    </row>
    <row r="54" spans="1:16" x14ac:dyDescent="0.25">
      <c r="A54" s="29" t="s">
        <v>45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f>SUM(D54:O54)</f>
        <v>0</v>
      </c>
    </row>
    <row r="55" spans="1:16" x14ac:dyDescent="0.25">
      <c r="A55" s="29" t="s">
        <v>46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f t="shared" ref="P55:P57" si="7">SUM(D55:O55)</f>
        <v>0</v>
      </c>
    </row>
    <row r="56" spans="1:16" x14ac:dyDescent="0.25">
      <c r="A56" s="29" t="s">
        <v>47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f t="shared" si="7"/>
        <v>0</v>
      </c>
    </row>
    <row r="57" spans="1:16" x14ac:dyDescent="0.25">
      <c r="A57" s="29" t="s">
        <v>48</v>
      </c>
      <c r="B57" s="24">
        <v>100000</v>
      </c>
      <c r="C57" s="24">
        <v>3103000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f>350408.92+10247</f>
        <v>360655.92</v>
      </c>
      <c r="L57" s="24">
        <v>0</v>
      </c>
      <c r="M57" s="24">
        <v>0</v>
      </c>
      <c r="N57" s="24">
        <v>0</v>
      </c>
      <c r="O57" s="24"/>
      <c r="P57" s="24">
        <f t="shared" si="7"/>
        <v>360655.92</v>
      </c>
    </row>
    <row r="58" spans="1:16" x14ac:dyDescent="0.25">
      <c r="A58" s="29" t="s">
        <v>49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</row>
    <row r="59" spans="1:16" x14ac:dyDescent="0.25">
      <c r="A59" s="29" t="s">
        <v>50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</row>
    <row r="60" spans="1:16" x14ac:dyDescent="0.25">
      <c r="A60" s="29" t="s">
        <v>51</v>
      </c>
      <c r="B60" s="24">
        <v>0</v>
      </c>
      <c r="C60" s="24">
        <v>230000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</row>
    <row r="61" spans="1:16" x14ac:dyDescent="0.25">
      <c r="A61" s="29" t="s">
        <v>52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</row>
    <row r="62" spans="1:16" x14ac:dyDescent="0.25">
      <c r="A62" s="29" t="s">
        <v>53</v>
      </c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</row>
    <row r="63" spans="1:16" x14ac:dyDescent="0.25">
      <c r="A63" s="29" t="s">
        <v>54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</row>
    <row r="64" spans="1:16" x14ac:dyDescent="0.25">
      <c r="A64" s="29" t="s">
        <v>55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</row>
    <row r="65" spans="1:16" x14ac:dyDescent="0.25">
      <c r="A65" s="29" t="s">
        <v>56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</row>
    <row r="66" spans="1:16" ht="30" x14ac:dyDescent="0.25">
      <c r="A66" s="29" t="s">
        <v>57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</row>
    <row r="67" spans="1:16" x14ac:dyDescent="0.25">
      <c r="A67" s="29" t="s">
        <v>58</v>
      </c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</row>
    <row r="68" spans="1:16" x14ac:dyDescent="0.25">
      <c r="A68" s="29" t="s">
        <v>59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</row>
    <row r="69" spans="1:16" x14ac:dyDescent="0.25">
      <c r="A69" s="29" t="s">
        <v>60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</row>
    <row r="70" spans="1:16" x14ac:dyDescent="0.25">
      <c r="A70" s="29" t="s">
        <v>61</v>
      </c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</row>
    <row r="71" spans="1:16" x14ac:dyDescent="0.25">
      <c r="A71" s="29" t="s">
        <v>62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</row>
    <row r="72" spans="1:16" x14ac:dyDescent="0.25">
      <c r="A72" s="29" t="s">
        <v>63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4">
        <v>0</v>
      </c>
    </row>
    <row r="73" spans="1:16" x14ac:dyDescent="0.25">
      <c r="A73" s="29" t="s">
        <v>64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</row>
    <row r="74" spans="1:16" x14ac:dyDescent="0.25">
      <c r="A74" s="29" t="s">
        <v>67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</row>
    <row r="75" spans="1:16" x14ac:dyDescent="0.25">
      <c r="A75" s="29" t="s">
        <v>68</v>
      </c>
      <c r="B75" s="25"/>
      <c r="C75" s="25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</row>
    <row r="76" spans="1:16" x14ac:dyDescent="0.25">
      <c r="A76" s="29" t="s">
        <v>69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</row>
    <row r="77" spans="1:16" x14ac:dyDescent="0.25">
      <c r="A77" s="29" t="s">
        <v>70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  <c r="O77" s="24">
        <v>0</v>
      </c>
      <c r="P77" s="24">
        <v>0</v>
      </c>
    </row>
    <row r="78" spans="1:16" x14ac:dyDescent="0.25">
      <c r="A78" s="29" t="s">
        <v>71</v>
      </c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</row>
    <row r="79" spans="1:16" x14ac:dyDescent="0.25">
      <c r="A79" s="29" t="s">
        <v>72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</row>
    <row r="80" spans="1:16" x14ac:dyDescent="0.25">
      <c r="A80" s="29" t="s">
        <v>73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</row>
    <row r="81" spans="1:16" x14ac:dyDescent="0.25">
      <c r="A81" s="29" t="s">
        <v>74</v>
      </c>
      <c r="B81" s="25">
        <v>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</row>
    <row r="82" spans="1:16" x14ac:dyDescent="0.25">
      <c r="A82" s="29" t="s">
        <v>75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</row>
    <row r="83" spans="1:16" ht="21.75" customHeight="1" x14ac:dyDescent="0.25">
      <c r="A83" s="9" t="s">
        <v>65</v>
      </c>
      <c r="B83" s="28">
        <f>B52+B36+B26+B16+B10</f>
        <v>315213767</v>
      </c>
      <c r="C83" s="28">
        <f>C52+C36+C26+C16+C10</f>
        <v>335213767</v>
      </c>
      <c r="D83" s="28">
        <f t="shared" ref="D83:P83" si="8">D52+D36+D26+D16+D10</f>
        <v>18713727.129999999</v>
      </c>
      <c r="E83" s="28">
        <f t="shared" si="8"/>
        <v>17849471.489999998</v>
      </c>
      <c r="F83" s="28">
        <f>F52+F36+F26+F16+F10</f>
        <v>19563881.91</v>
      </c>
      <c r="G83" s="28">
        <f t="shared" si="8"/>
        <v>31799117.909999996</v>
      </c>
      <c r="H83" s="28">
        <f t="shared" si="8"/>
        <v>21915269.530000001</v>
      </c>
      <c r="I83" s="28">
        <f>I52+I36+I26+I16+I10</f>
        <v>20490201.379999999</v>
      </c>
      <c r="J83" s="28">
        <f t="shared" si="8"/>
        <v>20416599.810000002</v>
      </c>
      <c r="K83" s="28">
        <f t="shared" si="8"/>
        <v>29797480.900000002</v>
      </c>
      <c r="L83" s="28">
        <f t="shared" si="8"/>
        <v>0</v>
      </c>
      <c r="M83" s="28">
        <f t="shared" si="8"/>
        <v>0</v>
      </c>
      <c r="N83" s="28">
        <f t="shared" si="8"/>
        <v>0</v>
      </c>
      <c r="O83" s="28">
        <f t="shared" si="8"/>
        <v>0</v>
      </c>
      <c r="P83" s="28">
        <f t="shared" si="8"/>
        <v>180545750.06</v>
      </c>
    </row>
    <row r="84" spans="1:16" ht="17.25" customHeight="1" x14ac:dyDescent="0.25"/>
    <row r="85" spans="1:16" ht="18.75" x14ac:dyDescent="0.3">
      <c r="A85" s="31"/>
      <c r="B85" s="31" t="s">
        <v>102</v>
      </c>
      <c r="C85" s="30"/>
      <c r="D85" s="30"/>
      <c r="E85" s="30"/>
      <c r="F85" s="31" t="s">
        <v>103</v>
      </c>
      <c r="H85" s="32"/>
      <c r="J85" s="33"/>
      <c r="K85" s="30"/>
    </row>
    <row r="86" spans="1:16" s="53" customFormat="1" ht="26.25" customHeight="1" x14ac:dyDescent="0.3">
      <c r="A86" s="54"/>
      <c r="B86" s="54" t="s">
        <v>104</v>
      </c>
      <c r="C86" s="31"/>
      <c r="D86" s="30"/>
      <c r="E86" s="30"/>
      <c r="F86" s="54" t="s">
        <v>104</v>
      </c>
      <c r="H86" s="54"/>
      <c r="I86" s="30"/>
      <c r="J86" s="30"/>
      <c r="K86" s="30"/>
    </row>
    <row r="87" spans="1:16" ht="18.75" x14ac:dyDescent="0.3">
      <c r="A87" s="32"/>
      <c r="B87" s="32" t="s">
        <v>105</v>
      </c>
      <c r="C87" s="32"/>
      <c r="D87" s="30"/>
      <c r="E87" s="30"/>
      <c r="F87" s="32" t="s">
        <v>106</v>
      </c>
      <c r="G87" s="45" t="s">
        <v>110</v>
      </c>
      <c r="H87" s="45"/>
      <c r="I87" s="45"/>
      <c r="J87" s="45"/>
      <c r="K87" s="30"/>
    </row>
    <row r="88" spans="1:16" s="53" customFormat="1" ht="18.75" x14ac:dyDescent="0.3">
      <c r="A88" s="31"/>
      <c r="B88" s="31" t="s">
        <v>107</v>
      </c>
      <c r="C88" s="31"/>
      <c r="D88" s="30"/>
      <c r="E88" s="30"/>
      <c r="F88" s="31" t="s">
        <v>111</v>
      </c>
      <c r="H88" s="31"/>
      <c r="I88" s="30"/>
      <c r="J88" s="30"/>
      <c r="K88" s="30"/>
    </row>
    <row r="89" spans="1:16" ht="18.75" x14ac:dyDescent="0.3">
      <c r="D89" s="30"/>
      <c r="E89" s="30"/>
      <c r="F89" s="30"/>
      <c r="H89" s="30"/>
      <c r="I89" s="30"/>
      <c r="J89" s="30"/>
      <c r="K89" s="30"/>
    </row>
    <row r="90" spans="1:16" ht="18.75" x14ac:dyDescent="0.25">
      <c r="B90" s="32"/>
    </row>
  </sheetData>
  <mergeCells count="10">
    <mergeCell ref="G87:J87"/>
    <mergeCell ref="A5:P5"/>
    <mergeCell ref="D7:P7"/>
    <mergeCell ref="A1:P1"/>
    <mergeCell ref="A2:P2"/>
    <mergeCell ref="A7:A8"/>
    <mergeCell ref="B7:B8"/>
    <mergeCell ref="C7:C8"/>
    <mergeCell ref="A3:P3"/>
    <mergeCell ref="A4:P4"/>
  </mergeCells>
  <pageMargins left="0.11811023622047245" right="0.11811023622047245" top="0.19685039370078741" bottom="0.35433070866141736" header="0.31496062992125984" footer="0.31496062992125984"/>
  <pageSetup paperSize="5" scale="70" orientation="landscape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90"/>
  <sheetViews>
    <sheetView showGridLines="0" topLeftCell="A69" zoomScaleNormal="100" workbookViewId="0">
      <selection activeCell="L90" sqref="L90"/>
    </sheetView>
  </sheetViews>
  <sheetFormatPr defaultColWidth="11.42578125" defaultRowHeight="15" x14ac:dyDescent="0.25"/>
  <cols>
    <col min="1" max="1" width="70.42578125" customWidth="1"/>
    <col min="2" max="2" width="13.28515625" customWidth="1"/>
    <col min="3" max="3" width="14.5703125" customWidth="1"/>
    <col min="4" max="5" width="13.5703125" customWidth="1"/>
    <col min="6" max="6" width="14.140625" customWidth="1"/>
    <col min="7" max="7" width="14.28515625" customWidth="1"/>
    <col min="8" max="8" width="14" customWidth="1"/>
    <col min="9" max="9" width="13.85546875" customWidth="1"/>
    <col min="10" max="10" width="14" customWidth="1"/>
    <col min="11" max="11" width="13.28515625" customWidth="1"/>
    <col min="12" max="12" width="14.5703125" customWidth="1"/>
    <col min="13" max="13" width="14.140625" customWidth="1"/>
    <col min="14" max="14" width="14.5703125" customWidth="1"/>
  </cols>
  <sheetData>
    <row r="2" spans="1:15" ht="28.5" customHeight="1" x14ac:dyDescent="0.25">
      <c r="A2" s="49" t="s">
        <v>98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5" ht="21" customHeight="1" x14ac:dyDescent="0.25">
      <c r="A3" s="51" t="s">
        <v>101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5" ht="15.75" x14ac:dyDescent="0.25">
      <c r="A4" s="43">
        <v>2023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5" ht="15.75" customHeight="1" x14ac:dyDescent="0.25">
      <c r="A5" s="38" t="s">
        <v>92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5" ht="15.75" customHeight="1" x14ac:dyDescent="0.25">
      <c r="A6" s="39" t="s">
        <v>77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8" spans="1:15" ht="42.75" customHeight="1" x14ac:dyDescent="0.25">
      <c r="A8" s="7" t="s">
        <v>66</v>
      </c>
      <c r="B8" s="18" t="s">
        <v>79</v>
      </c>
      <c r="C8" s="18" t="s">
        <v>80</v>
      </c>
      <c r="D8" s="18" t="s">
        <v>81</v>
      </c>
      <c r="E8" s="18" t="s">
        <v>82</v>
      </c>
      <c r="F8" s="19" t="s">
        <v>83</v>
      </c>
      <c r="G8" s="18" t="s">
        <v>84</v>
      </c>
      <c r="H8" s="19" t="s">
        <v>85</v>
      </c>
      <c r="I8" s="18" t="s">
        <v>86</v>
      </c>
      <c r="J8" s="35" t="s">
        <v>87</v>
      </c>
      <c r="K8" s="35" t="s">
        <v>88</v>
      </c>
      <c r="L8" s="35" t="s">
        <v>89</v>
      </c>
      <c r="M8" s="35" t="s">
        <v>90</v>
      </c>
      <c r="N8" s="18" t="s">
        <v>78</v>
      </c>
    </row>
    <row r="9" spans="1:15" x14ac:dyDescent="0.25">
      <c r="A9" s="1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5" x14ac:dyDescent="0.25">
      <c r="A10" s="3" t="s">
        <v>1</v>
      </c>
      <c r="B10" s="25">
        <f>B11+B12+B15</f>
        <v>14650701.149999999</v>
      </c>
      <c r="C10" s="25">
        <f t="shared" ref="C10:M10" si="0">C11+C12+C15</f>
        <v>14449534.359999999</v>
      </c>
      <c r="D10" s="25">
        <f>D11+D12+D15</f>
        <v>14278573.42</v>
      </c>
      <c r="E10" s="25">
        <f t="shared" si="0"/>
        <v>25352064.809999999</v>
      </c>
      <c r="F10" s="25">
        <f t="shared" si="0"/>
        <v>14652646.32</v>
      </c>
      <c r="G10" s="25">
        <f t="shared" si="0"/>
        <v>14760392.779999999</v>
      </c>
      <c r="H10" s="25">
        <f t="shared" si="0"/>
        <v>15348424.139999999</v>
      </c>
      <c r="I10" s="25">
        <f>I11+I12+I15</f>
        <v>15120824.280000001</v>
      </c>
      <c r="J10" s="25">
        <f t="shared" si="0"/>
        <v>0</v>
      </c>
      <c r="K10" s="25">
        <f t="shared" si="0"/>
        <v>0</v>
      </c>
      <c r="L10" s="25">
        <f t="shared" si="0"/>
        <v>0</v>
      </c>
      <c r="M10" s="25">
        <f t="shared" si="0"/>
        <v>0</v>
      </c>
      <c r="N10" s="25">
        <f>SUM(B10:M10)</f>
        <v>128613161.26000001</v>
      </c>
    </row>
    <row r="11" spans="1:15" ht="17.25" customHeight="1" x14ac:dyDescent="0.25">
      <c r="A11" s="5" t="s">
        <v>2</v>
      </c>
      <c r="B11" s="24">
        <v>12594186.699999999</v>
      </c>
      <c r="C11" s="24">
        <v>12361912.92</v>
      </c>
      <c r="D11" s="24">
        <v>12195008.83</v>
      </c>
      <c r="E11" s="24">
        <v>23219626.129999999</v>
      </c>
      <c r="F11" s="24">
        <v>12450963.42</v>
      </c>
      <c r="G11" s="24">
        <v>12589618.85</v>
      </c>
      <c r="H11" s="24">
        <v>13062816.109999999</v>
      </c>
      <c r="I11" s="24">
        <v>12882718.640000001</v>
      </c>
      <c r="J11" s="24">
        <v>0</v>
      </c>
      <c r="K11" s="24">
        <v>0</v>
      </c>
      <c r="L11" s="24">
        <v>0</v>
      </c>
      <c r="M11" s="24">
        <v>0</v>
      </c>
      <c r="N11" s="24">
        <f>SUM(B11:M11)</f>
        <v>111356851.59999999</v>
      </c>
    </row>
    <row r="12" spans="1:15" ht="17.25" customHeight="1" x14ac:dyDescent="0.25">
      <c r="A12" s="5" t="s">
        <v>3</v>
      </c>
      <c r="B12" s="24">
        <v>333500</v>
      </c>
      <c r="C12" s="24">
        <v>326500</v>
      </c>
      <c r="D12" s="24">
        <v>333500</v>
      </c>
      <c r="E12" s="24">
        <v>333500</v>
      </c>
      <c r="F12" s="24">
        <v>333500</v>
      </c>
      <c r="G12" s="24">
        <v>333500</v>
      </c>
      <c r="H12" s="24">
        <v>333500</v>
      </c>
      <c r="I12" s="24">
        <v>326500</v>
      </c>
      <c r="J12" s="24">
        <v>0</v>
      </c>
      <c r="K12" s="24">
        <v>0</v>
      </c>
      <c r="L12" s="24">
        <v>0</v>
      </c>
      <c r="M12" s="24">
        <v>0</v>
      </c>
      <c r="N12" s="24">
        <f>SUM(B12:M12)</f>
        <v>2654000</v>
      </c>
    </row>
    <row r="13" spans="1:15" ht="17.25" customHeight="1" x14ac:dyDescent="0.25">
      <c r="A13" s="5" t="s">
        <v>4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17"/>
    </row>
    <row r="14" spans="1:15" ht="17.25" customHeight="1" x14ac:dyDescent="0.25">
      <c r="A14" s="5" t="s">
        <v>5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</row>
    <row r="15" spans="1:15" ht="17.25" customHeight="1" x14ac:dyDescent="0.25">
      <c r="A15" s="5" t="s">
        <v>6</v>
      </c>
      <c r="B15" s="24">
        <v>1723014.45</v>
      </c>
      <c r="C15" s="24">
        <v>1761121.44</v>
      </c>
      <c r="D15" s="24">
        <v>1750064.59</v>
      </c>
      <c r="E15" s="24">
        <v>1798938.68</v>
      </c>
      <c r="F15" s="24">
        <v>1868182.9</v>
      </c>
      <c r="G15" s="24">
        <v>1837273.93</v>
      </c>
      <c r="H15" s="24">
        <v>1952108.03</v>
      </c>
      <c r="I15" s="24">
        <v>1911605.64</v>
      </c>
      <c r="J15" s="24">
        <v>0</v>
      </c>
      <c r="K15" s="24">
        <v>0</v>
      </c>
      <c r="L15" s="24">
        <v>0</v>
      </c>
      <c r="M15" s="24">
        <v>0</v>
      </c>
      <c r="N15" s="24">
        <f>SUM(B15:M15)</f>
        <v>14602309.659999998</v>
      </c>
    </row>
    <row r="16" spans="1:15" ht="17.25" customHeight="1" x14ac:dyDescent="0.25">
      <c r="A16" s="3" t="s">
        <v>7</v>
      </c>
      <c r="B16" s="25">
        <f>B17+B18+B19+B20+B21+B22+B23+B24</f>
        <v>3346878.98</v>
      </c>
      <c r="C16" s="25">
        <f>C17+C18+C19+C20+C21+C22+C23+C24+C25</f>
        <v>3399937.1299999994</v>
      </c>
      <c r="D16" s="25">
        <f>D17+D18+D19+D20+D21+D22+D23+D24</f>
        <v>3778704.9499999997</v>
      </c>
      <c r="E16" s="25">
        <f>E17+E18+E19+E20+E21+E22+E23+E24</f>
        <v>6447053.0999999996</v>
      </c>
      <c r="F16" s="25">
        <f>F17+F18+F19+F20+F21+F22+F23+F24+F25</f>
        <v>6265516.1599999992</v>
      </c>
      <c r="G16" s="25">
        <f>G17+G18+G19+G20+G21+G22+G23+G24+G25</f>
        <v>5281734.8600000003</v>
      </c>
      <c r="H16" s="25">
        <f>H17+H18+H19+H20+H21+H22+H23+H24+H25</f>
        <v>4913524.29</v>
      </c>
      <c r="I16" s="25">
        <f>I17+I18+I19+I20+I21+I22+I23+I24+I25</f>
        <v>10424438.930000002</v>
      </c>
      <c r="J16" s="25">
        <f t="shared" ref="J16:K16" si="1">J17+J18+J19+J20+J21+J22+J23+J24</f>
        <v>0</v>
      </c>
      <c r="K16" s="25">
        <f t="shared" si="1"/>
        <v>0</v>
      </c>
      <c r="L16" s="25">
        <f>L17+L18+L19+L20+L21+L22+L23+L24</f>
        <v>0</v>
      </c>
      <c r="M16" s="25">
        <f>M17+M18+M19+M20+M21+M22+M23+M24+M25</f>
        <v>0</v>
      </c>
      <c r="N16" s="25">
        <f>N17+N18+N19+N20+N21+N22+N23+N24+N25</f>
        <v>43857788.400000006</v>
      </c>
    </row>
    <row r="17" spans="1:14" ht="17.25" customHeight="1" x14ac:dyDescent="0.25">
      <c r="A17" s="5" t="s">
        <v>8</v>
      </c>
      <c r="B17" s="24">
        <v>2320636.34</v>
      </c>
      <c r="C17" s="24">
        <v>2136813.96</v>
      </c>
      <c r="D17" s="24">
        <v>2301715.36</v>
      </c>
      <c r="E17" s="24">
        <v>2103200.3199999998</v>
      </c>
      <c r="F17" s="24">
        <v>2171401.61</v>
      </c>
      <c r="G17" s="24">
        <v>2199476.56</v>
      </c>
      <c r="H17" s="24">
        <v>2237287.71</v>
      </c>
      <c r="I17" s="24">
        <v>2647214.62</v>
      </c>
      <c r="J17" s="24">
        <v>0</v>
      </c>
      <c r="K17" s="24">
        <v>0</v>
      </c>
      <c r="L17" s="24">
        <v>0</v>
      </c>
      <c r="M17" s="24">
        <v>0</v>
      </c>
      <c r="N17" s="24">
        <f>SUM(B17:M17)</f>
        <v>18117746.48</v>
      </c>
    </row>
    <row r="18" spans="1:14" ht="17.25" customHeight="1" x14ac:dyDescent="0.25">
      <c r="A18" s="5" t="s">
        <v>9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36541.71</v>
      </c>
      <c r="J18" s="24">
        <v>0</v>
      </c>
      <c r="K18" s="24">
        <v>0</v>
      </c>
      <c r="L18" s="24">
        <v>0</v>
      </c>
      <c r="M18" s="24">
        <v>0</v>
      </c>
      <c r="N18" s="24">
        <f t="shared" ref="N18:N23" si="2">SUM(B18:M18)</f>
        <v>36541.71</v>
      </c>
    </row>
    <row r="19" spans="1:14" ht="17.25" customHeight="1" x14ac:dyDescent="0.25">
      <c r="A19" s="5" t="s">
        <v>10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1758495</v>
      </c>
      <c r="J19" s="24">
        <v>0</v>
      </c>
      <c r="K19" s="24">
        <v>0</v>
      </c>
      <c r="L19" s="24">
        <v>0</v>
      </c>
      <c r="M19" s="24">
        <v>0</v>
      </c>
      <c r="N19" s="24">
        <f t="shared" si="2"/>
        <v>1758495</v>
      </c>
    </row>
    <row r="20" spans="1:14" ht="17.25" customHeight="1" x14ac:dyDescent="0.25">
      <c r="A20" s="5" t="s">
        <v>11</v>
      </c>
      <c r="B20" s="24">
        <v>0</v>
      </c>
      <c r="C20" s="24">
        <v>0</v>
      </c>
      <c r="D20" s="24">
        <v>0</v>
      </c>
      <c r="E20" s="24">
        <v>0</v>
      </c>
      <c r="F20" s="24">
        <v>50000</v>
      </c>
      <c r="G20" s="24">
        <v>0</v>
      </c>
      <c r="H20" s="24">
        <v>0</v>
      </c>
      <c r="I20" s="24">
        <v>238324.63</v>
      </c>
      <c r="J20" s="24">
        <v>0</v>
      </c>
      <c r="K20" s="24">
        <v>0</v>
      </c>
      <c r="L20" s="24">
        <v>0</v>
      </c>
      <c r="M20" s="24">
        <v>0</v>
      </c>
      <c r="N20" s="24">
        <f t="shared" si="2"/>
        <v>288324.63</v>
      </c>
    </row>
    <row r="21" spans="1:14" ht="17.25" customHeight="1" x14ac:dyDescent="0.25">
      <c r="A21" s="5" t="s">
        <v>12</v>
      </c>
      <c r="B21" s="24">
        <v>0</v>
      </c>
      <c r="C21" s="24">
        <v>323839.96999999997</v>
      </c>
      <c r="D21" s="24">
        <v>151855.04999999999</v>
      </c>
      <c r="E21" s="24">
        <v>3163979.22</v>
      </c>
      <c r="F21" s="24">
        <v>1722283.65</v>
      </c>
      <c r="G21" s="24">
        <v>1213726.22</v>
      </c>
      <c r="H21" s="24">
        <v>1682326.22</v>
      </c>
      <c r="I21" s="24">
        <v>3572602.89</v>
      </c>
      <c r="J21" s="24">
        <v>0</v>
      </c>
      <c r="K21" s="24">
        <v>0</v>
      </c>
      <c r="L21" s="24">
        <v>0</v>
      </c>
      <c r="M21" s="24">
        <v>0</v>
      </c>
      <c r="N21" s="24">
        <f t="shared" si="2"/>
        <v>11830613.220000001</v>
      </c>
    </row>
    <row r="22" spans="1:14" ht="17.25" customHeight="1" x14ac:dyDescent="0.25">
      <c r="A22" s="5" t="s">
        <v>13</v>
      </c>
      <c r="B22" s="24">
        <v>1026242.64</v>
      </c>
      <c r="C22" s="24">
        <v>698548.14</v>
      </c>
      <c r="D22" s="24">
        <v>1325134.54</v>
      </c>
      <c r="E22" s="24">
        <f>530123.12+649750.44</f>
        <v>1179873.56</v>
      </c>
      <c r="F22" s="24">
        <v>1319951.22</v>
      </c>
      <c r="G22" s="24">
        <v>1325827.42</v>
      </c>
      <c r="H22" s="24">
        <v>641188.48</v>
      </c>
      <c r="I22" s="24">
        <v>988271.8</v>
      </c>
      <c r="J22" s="24">
        <v>0</v>
      </c>
      <c r="K22" s="24">
        <v>0</v>
      </c>
      <c r="L22" s="24">
        <v>0</v>
      </c>
      <c r="M22" s="24">
        <v>0</v>
      </c>
      <c r="N22" s="24">
        <f t="shared" si="2"/>
        <v>8505037.8000000007</v>
      </c>
    </row>
    <row r="23" spans="1:14" ht="27" customHeight="1" x14ac:dyDescent="0.25">
      <c r="A23" s="29" t="s">
        <v>14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501749.42</v>
      </c>
      <c r="J23" s="24">
        <v>0</v>
      </c>
      <c r="K23" s="24">
        <v>0</v>
      </c>
      <c r="L23" s="24">
        <v>0</v>
      </c>
      <c r="M23" s="24">
        <v>0</v>
      </c>
      <c r="N23" s="24">
        <f t="shared" si="2"/>
        <v>501749.42</v>
      </c>
    </row>
    <row r="24" spans="1:14" ht="17.25" customHeight="1" x14ac:dyDescent="0.25">
      <c r="A24" s="5" t="s">
        <v>15</v>
      </c>
      <c r="B24" s="24">
        <v>0</v>
      </c>
      <c r="C24" s="24">
        <v>131643.53</v>
      </c>
      <c r="D24" s="24">
        <v>0</v>
      </c>
      <c r="E24" s="24">
        <v>0</v>
      </c>
      <c r="F24" s="24">
        <v>696200</v>
      </c>
      <c r="G24" s="24">
        <v>206100</v>
      </c>
      <c r="H24" s="24">
        <v>352721.88</v>
      </c>
      <c r="I24" s="24">
        <v>167993.8</v>
      </c>
      <c r="J24" s="24">
        <v>0</v>
      </c>
      <c r="K24" s="24">
        <v>0</v>
      </c>
      <c r="L24" s="24">
        <v>0</v>
      </c>
      <c r="M24" s="24">
        <v>0</v>
      </c>
      <c r="N24" s="24">
        <f>SUM(B24:M24)</f>
        <v>1554659.2100000002</v>
      </c>
    </row>
    <row r="25" spans="1:14" ht="17.25" customHeight="1" x14ac:dyDescent="0.25">
      <c r="A25" s="5" t="s">
        <v>16</v>
      </c>
      <c r="B25" s="24">
        <v>0</v>
      </c>
      <c r="C25" s="24">
        <v>109091.53</v>
      </c>
      <c r="D25" s="24">
        <v>0</v>
      </c>
      <c r="E25" s="24">
        <v>0</v>
      </c>
      <c r="F25" s="24">
        <v>305679.68</v>
      </c>
      <c r="G25" s="24">
        <v>336604.66</v>
      </c>
      <c r="H25" s="24">
        <v>0</v>
      </c>
      <c r="I25" s="24">
        <v>513245.06</v>
      </c>
      <c r="J25" s="24">
        <v>0</v>
      </c>
      <c r="K25" s="24">
        <v>0</v>
      </c>
      <c r="L25" s="24">
        <v>0</v>
      </c>
      <c r="M25" s="24">
        <v>0</v>
      </c>
      <c r="N25" s="24">
        <f>SUM(B25:M25)</f>
        <v>1264620.93</v>
      </c>
    </row>
    <row r="26" spans="1:14" ht="17.25" customHeight="1" x14ac:dyDescent="0.25">
      <c r="A26" s="3" t="s">
        <v>17</v>
      </c>
      <c r="B26" s="25">
        <f>B27+B28+B29+B30+B31+B32+B33</f>
        <v>716147</v>
      </c>
      <c r="C26" s="25">
        <f>C27+C28+C29+C30+C31+C32+C33</f>
        <v>0</v>
      </c>
      <c r="D26" s="25">
        <f>D27+D28+D29+D30+D31+D32+D33+D35</f>
        <v>1482603.54</v>
      </c>
      <c r="E26" s="25">
        <f>E27+E28+E29+E30+E31+E32+E35</f>
        <v>0</v>
      </c>
      <c r="F26" s="25">
        <f>F27+F28+F29+F30+F31+F32+F33+F35</f>
        <v>896335.05</v>
      </c>
      <c r="G26" s="25">
        <f>G27+G28+G29+G30+G31+G32+G35</f>
        <v>448073.74</v>
      </c>
      <c r="H26" s="25">
        <f>H27+H28+H29+H30+H31+H32+H33+H35</f>
        <v>107462</v>
      </c>
      <c r="I26" s="25">
        <f>I27+I28+I29+I30+I31+I32+I33+I35</f>
        <v>3769152.17</v>
      </c>
      <c r="J26" s="25">
        <f>J27+J28+J29+J30+J31+J32</f>
        <v>0</v>
      </c>
      <c r="K26" s="25">
        <f>K27+K28+K29+K30+K31+K32+K33+K35</f>
        <v>0</v>
      </c>
      <c r="L26" s="25">
        <f>L27+L28+L29+L30+L31+L32+L33+L35</f>
        <v>0</v>
      </c>
      <c r="M26" s="25">
        <f>M27+M28+M29+M30+M31+M32+M33+M35</f>
        <v>0</v>
      </c>
      <c r="N26" s="25">
        <f>N27+N28+N29+N30+N31+N32+N33+N35</f>
        <v>7419773.5</v>
      </c>
    </row>
    <row r="27" spans="1:14" ht="17.25" customHeight="1" x14ac:dyDescent="0.25">
      <c r="A27" s="5" t="s">
        <v>18</v>
      </c>
      <c r="B27" s="24">
        <v>0</v>
      </c>
      <c r="C27" s="24">
        <v>0</v>
      </c>
      <c r="D27" s="24">
        <v>6580</v>
      </c>
      <c r="E27" s="24">
        <v>0</v>
      </c>
      <c r="F27" s="24">
        <v>132319.28</v>
      </c>
      <c r="G27" s="24">
        <v>185709.9</v>
      </c>
      <c r="H27" s="24">
        <v>7280</v>
      </c>
      <c r="I27" s="24">
        <v>180590.82</v>
      </c>
      <c r="J27" s="24">
        <v>0</v>
      </c>
      <c r="K27" s="24">
        <v>0</v>
      </c>
      <c r="L27" s="24">
        <v>0</v>
      </c>
      <c r="M27" s="24">
        <v>0</v>
      </c>
      <c r="N27" s="24">
        <f t="shared" ref="N27:N37" si="3">SUM(B27:M27)</f>
        <v>512480</v>
      </c>
    </row>
    <row r="28" spans="1:14" ht="17.25" customHeight="1" x14ac:dyDescent="0.25">
      <c r="A28" s="5" t="s">
        <v>19</v>
      </c>
      <c r="B28" s="24">
        <v>0</v>
      </c>
      <c r="C28" s="24">
        <v>0</v>
      </c>
      <c r="D28" s="24">
        <v>0</v>
      </c>
      <c r="E28" s="24">
        <v>0</v>
      </c>
      <c r="F28" s="24">
        <v>4099.9799999999996</v>
      </c>
      <c r="G28" s="24">
        <v>103604</v>
      </c>
      <c r="H28" s="24">
        <v>0</v>
      </c>
      <c r="I28" s="24">
        <v>560</v>
      </c>
      <c r="J28" s="24">
        <v>0</v>
      </c>
      <c r="K28" s="24">
        <v>0</v>
      </c>
      <c r="L28" s="24">
        <v>0</v>
      </c>
      <c r="M28" s="24">
        <v>0</v>
      </c>
      <c r="N28" s="24">
        <f t="shared" si="3"/>
        <v>108263.98</v>
      </c>
    </row>
    <row r="29" spans="1:14" ht="17.25" customHeight="1" x14ac:dyDescent="0.25">
      <c r="A29" s="5" t="s">
        <v>20</v>
      </c>
      <c r="B29" s="24">
        <v>0</v>
      </c>
      <c r="C29" s="24">
        <v>0</v>
      </c>
      <c r="D29" s="24">
        <v>0</v>
      </c>
      <c r="E29" s="24">
        <v>0</v>
      </c>
      <c r="F29" s="24">
        <v>112570.18</v>
      </c>
      <c r="G29" s="24">
        <v>0</v>
      </c>
      <c r="H29" s="24">
        <v>0</v>
      </c>
      <c r="I29" s="24">
        <v>16291.95</v>
      </c>
      <c r="J29" s="24">
        <v>0</v>
      </c>
      <c r="K29" s="24">
        <v>0</v>
      </c>
      <c r="L29" s="24">
        <v>0</v>
      </c>
      <c r="M29" s="24">
        <v>0</v>
      </c>
      <c r="N29" s="24">
        <f t="shared" si="3"/>
        <v>128862.12999999999</v>
      </c>
    </row>
    <row r="30" spans="1:14" ht="17.25" customHeight="1" x14ac:dyDescent="0.25">
      <c r="A30" s="5" t="s">
        <v>21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f t="shared" si="3"/>
        <v>0</v>
      </c>
    </row>
    <row r="31" spans="1:14" ht="17.25" customHeight="1" x14ac:dyDescent="0.25">
      <c r="A31" s="5" t="s">
        <v>22</v>
      </c>
      <c r="B31" s="24">
        <v>0</v>
      </c>
      <c r="C31" s="24">
        <v>0</v>
      </c>
      <c r="D31" s="24">
        <v>0</v>
      </c>
      <c r="E31" s="24">
        <v>0</v>
      </c>
      <c r="F31" s="24">
        <v>34135.040000000001</v>
      </c>
      <c r="G31" s="24">
        <v>0</v>
      </c>
      <c r="H31" s="24">
        <v>0</v>
      </c>
      <c r="I31" s="24">
        <v>122779.85</v>
      </c>
      <c r="J31" s="24">
        <v>0</v>
      </c>
      <c r="K31" s="24">
        <v>0</v>
      </c>
      <c r="L31" s="24">
        <v>0</v>
      </c>
      <c r="M31" s="24">
        <v>0</v>
      </c>
      <c r="N31" s="24">
        <f t="shared" si="3"/>
        <v>156914.89000000001</v>
      </c>
    </row>
    <row r="32" spans="1:14" ht="17.25" customHeight="1" x14ac:dyDescent="0.25">
      <c r="A32" s="5" t="s">
        <v>23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22550.53</v>
      </c>
      <c r="J32" s="24">
        <v>0</v>
      </c>
      <c r="K32" s="24">
        <v>0</v>
      </c>
      <c r="L32" s="24">
        <v>0</v>
      </c>
      <c r="M32" s="24">
        <v>0</v>
      </c>
      <c r="N32" s="24">
        <f t="shared" si="3"/>
        <v>22550.53</v>
      </c>
    </row>
    <row r="33" spans="1:14" ht="17.25" customHeight="1" x14ac:dyDescent="0.25">
      <c r="A33" s="5" t="s">
        <v>24</v>
      </c>
      <c r="B33" s="24">
        <v>716147</v>
      </c>
      <c r="C33" s="24">
        <v>0</v>
      </c>
      <c r="D33" s="24">
        <v>1421500</v>
      </c>
      <c r="E33" s="24">
        <v>0</v>
      </c>
      <c r="F33" s="24">
        <v>400000</v>
      </c>
      <c r="G33" s="24">
        <v>0</v>
      </c>
      <c r="H33" s="24">
        <v>0</v>
      </c>
      <c r="I33" s="24">
        <v>3206368.58</v>
      </c>
      <c r="J33" s="24">
        <v>0</v>
      </c>
      <c r="K33" s="24">
        <v>0</v>
      </c>
      <c r="L33" s="24">
        <v>0</v>
      </c>
      <c r="M33" s="24">
        <v>0</v>
      </c>
      <c r="N33" s="24">
        <f t="shared" si="3"/>
        <v>5744015.5800000001</v>
      </c>
    </row>
    <row r="34" spans="1:14" ht="17.25" customHeight="1" x14ac:dyDescent="0.25">
      <c r="A34" s="5" t="s">
        <v>25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</row>
    <row r="35" spans="1:14" ht="17.25" customHeight="1" x14ac:dyDescent="0.25">
      <c r="A35" s="5" t="s">
        <v>26</v>
      </c>
      <c r="B35" s="24">
        <v>0</v>
      </c>
      <c r="C35" s="24">
        <v>0</v>
      </c>
      <c r="D35" s="24">
        <v>54523.54</v>
      </c>
      <c r="E35" s="24">
        <v>0</v>
      </c>
      <c r="F35" s="24">
        <f>173208.57+40002</f>
        <v>213210.57</v>
      </c>
      <c r="G35" s="24">
        <v>158759.84</v>
      </c>
      <c r="H35" s="24">
        <v>100182</v>
      </c>
      <c r="I35" s="24">
        <v>220010.44</v>
      </c>
      <c r="J35" s="24">
        <v>0</v>
      </c>
      <c r="K35" s="24">
        <v>0</v>
      </c>
      <c r="L35" s="24">
        <v>0</v>
      </c>
      <c r="M35" s="24">
        <v>0</v>
      </c>
      <c r="N35" s="24">
        <f t="shared" si="3"/>
        <v>746686.3899999999</v>
      </c>
    </row>
    <row r="36" spans="1:14" ht="17.25" customHeight="1" x14ac:dyDescent="0.25">
      <c r="A36" s="3" t="s">
        <v>27</v>
      </c>
      <c r="B36" s="25">
        <f t="shared" ref="B36:N36" si="4">B37+B38+B39+B40+B41+B42</f>
        <v>0</v>
      </c>
      <c r="C36" s="25">
        <f t="shared" si="4"/>
        <v>0</v>
      </c>
      <c r="D36" s="25">
        <f t="shared" si="4"/>
        <v>24000</v>
      </c>
      <c r="E36" s="25">
        <f t="shared" si="4"/>
        <v>0</v>
      </c>
      <c r="F36" s="25">
        <f t="shared" si="4"/>
        <v>0</v>
      </c>
      <c r="G36" s="25">
        <f t="shared" si="4"/>
        <v>0</v>
      </c>
      <c r="H36" s="25">
        <f t="shared" si="4"/>
        <v>0</v>
      </c>
      <c r="I36" s="25">
        <f t="shared" si="4"/>
        <v>0</v>
      </c>
      <c r="J36" s="25">
        <f t="shared" si="4"/>
        <v>0</v>
      </c>
      <c r="K36" s="25">
        <f t="shared" si="4"/>
        <v>0</v>
      </c>
      <c r="L36" s="25">
        <f t="shared" si="4"/>
        <v>0</v>
      </c>
      <c r="M36" s="25">
        <f t="shared" si="4"/>
        <v>0</v>
      </c>
      <c r="N36" s="25">
        <f t="shared" si="4"/>
        <v>24000</v>
      </c>
    </row>
    <row r="37" spans="1:14" ht="17.25" customHeight="1" x14ac:dyDescent="0.25">
      <c r="A37" s="5" t="s">
        <v>28</v>
      </c>
      <c r="B37" s="24">
        <v>0</v>
      </c>
      <c r="C37" s="24">
        <v>0</v>
      </c>
      <c r="D37" s="24">
        <v>24000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f t="shared" si="3"/>
        <v>24000</v>
      </c>
    </row>
    <row r="38" spans="1:14" ht="17.25" customHeight="1" x14ac:dyDescent="0.25">
      <c r="A38" s="5" t="s">
        <v>29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</row>
    <row r="39" spans="1:14" ht="17.25" customHeight="1" x14ac:dyDescent="0.25">
      <c r="A39" s="5" t="s">
        <v>30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</row>
    <row r="40" spans="1:14" ht="17.25" customHeight="1" x14ac:dyDescent="0.25">
      <c r="A40" s="5" t="s">
        <v>31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</row>
    <row r="41" spans="1:14" ht="17.25" customHeight="1" x14ac:dyDescent="0.25">
      <c r="A41" s="5" t="s">
        <v>32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</row>
    <row r="42" spans="1:14" ht="17.25" customHeight="1" x14ac:dyDescent="0.25">
      <c r="A42" s="5" t="s">
        <v>33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</row>
    <row r="43" spans="1:14" ht="17.25" customHeight="1" x14ac:dyDescent="0.25">
      <c r="A43" s="5" t="s">
        <v>34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</row>
    <row r="44" spans="1:14" ht="17.25" customHeight="1" x14ac:dyDescent="0.25">
      <c r="A44" s="5" t="s">
        <v>35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</row>
    <row r="45" spans="1:14" ht="17.25" customHeight="1" x14ac:dyDescent="0.25">
      <c r="A45" s="3" t="s">
        <v>36</v>
      </c>
      <c r="B45" s="25">
        <f t="shared" ref="B45:N45" si="5">B46</f>
        <v>0</v>
      </c>
      <c r="C45" s="25">
        <f t="shared" si="5"/>
        <v>0</v>
      </c>
      <c r="D45" s="25">
        <f t="shared" si="5"/>
        <v>0</v>
      </c>
      <c r="E45" s="25">
        <f t="shared" si="5"/>
        <v>0</v>
      </c>
      <c r="F45" s="25">
        <f t="shared" si="5"/>
        <v>0</v>
      </c>
      <c r="G45" s="25">
        <f t="shared" si="5"/>
        <v>0</v>
      </c>
      <c r="H45" s="25">
        <f t="shared" si="5"/>
        <v>0</v>
      </c>
      <c r="I45" s="25">
        <f t="shared" si="5"/>
        <v>0</v>
      </c>
      <c r="J45" s="25">
        <f t="shared" si="5"/>
        <v>0</v>
      </c>
      <c r="K45" s="25">
        <f t="shared" si="5"/>
        <v>0</v>
      </c>
      <c r="L45" s="25">
        <f t="shared" si="5"/>
        <v>0</v>
      </c>
      <c r="M45" s="25">
        <f t="shared" si="5"/>
        <v>0</v>
      </c>
      <c r="N45" s="25">
        <f t="shared" si="5"/>
        <v>0</v>
      </c>
    </row>
    <row r="46" spans="1:14" ht="17.25" customHeight="1" x14ac:dyDescent="0.25">
      <c r="A46" s="5" t="s">
        <v>37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</row>
    <row r="47" spans="1:14" ht="17.25" customHeight="1" x14ac:dyDescent="0.25">
      <c r="A47" s="5" t="s">
        <v>38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</row>
    <row r="48" spans="1:14" ht="17.25" customHeight="1" x14ac:dyDescent="0.25">
      <c r="A48" s="5" t="s">
        <v>39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</row>
    <row r="49" spans="1:14" ht="17.25" customHeight="1" x14ac:dyDescent="0.25">
      <c r="A49" s="5" t="s">
        <v>40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</row>
    <row r="50" spans="1:14" ht="17.25" customHeight="1" x14ac:dyDescent="0.25">
      <c r="A50" s="5" t="s">
        <v>41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</row>
    <row r="51" spans="1:14" ht="17.25" customHeight="1" x14ac:dyDescent="0.25">
      <c r="A51" s="5" t="s">
        <v>42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</row>
    <row r="52" spans="1:14" ht="17.25" customHeight="1" x14ac:dyDescent="0.25">
      <c r="A52" s="3" t="s">
        <v>43</v>
      </c>
      <c r="B52" s="25">
        <f>B53</f>
        <v>0</v>
      </c>
      <c r="C52" s="25">
        <f>C53</f>
        <v>0</v>
      </c>
      <c r="D52" s="25">
        <f>D53</f>
        <v>0</v>
      </c>
      <c r="E52" s="25">
        <f>E53+E57</f>
        <v>0</v>
      </c>
      <c r="F52" s="25">
        <f>F54+F53</f>
        <v>100772</v>
      </c>
      <c r="G52" s="25">
        <f>G54</f>
        <v>0</v>
      </c>
      <c r="H52" s="25">
        <f>H53+H57</f>
        <v>47189.38</v>
      </c>
      <c r="I52" s="25">
        <f>I53+I57</f>
        <v>483065.52</v>
      </c>
      <c r="J52" s="25">
        <f>J53</f>
        <v>0</v>
      </c>
      <c r="K52" s="25">
        <f>K53</f>
        <v>0</v>
      </c>
      <c r="L52" s="25">
        <f>L53</f>
        <v>0</v>
      </c>
      <c r="M52" s="25">
        <f>M53+M54+M57</f>
        <v>0</v>
      </c>
      <c r="N52" s="25">
        <f>SUM(B52:M52)</f>
        <v>631026.9</v>
      </c>
    </row>
    <row r="53" spans="1:14" ht="17.25" customHeight="1" x14ac:dyDescent="0.25">
      <c r="A53" s="5" t="s">
        <v>44</v>
      </c>
      <c r="B53" s="24">
        <v>0</v>
      </c>
      <c r="C53" s="24">
        <v>0</v>
      </c>
      <c r="D53" s="24">
        <v>0</v>
      </c>
      <c r="E53" s="24">
        <v>0</v>
      </c>
      <c r="F53" s="24">
        <v>100772</v>
      </c>
      <c r="G53" s="24">
        <v>0</v>
      </c>
      <c r="H53" s="24">
        <v>47189.38</v>
      </c>
      <c r="I53" s="24">
        <v>122409.60000000001</v>
      </c>
      <c r="J53" s="24">
        <v>0</v>
      </c>
      <c r="K53" s="24">
        <v>0</v>
      </c>
      <c r="L53" s="24">
        <v>0</v>
      </c>
      <c r="M53" s="24">
        <v>0</v>
      </c>
      <c r="N53" s="24">
        <f>SUM(B53:M53)</f>
        <v>270370.98</v>
      </c>
    </row>
    <row r="54" spans="1:14" ht="17.25" customHeight="1" x14ac:dyDescent="0.25">
      <c r="A54" s="5" t="s">
        <v>45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f>SUM(B54:M54)</f>
        <v>0</v>
      </c>
    </row>
    <row r="55" spans="1:14" ht="17.25" customHeight="1" x14ac:dyDescent="0.25">
      <c r="A55" s="5" t="s">
        <v>46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</row>
    <row r="56" spans="1:14" ht="17.25" customHeight="1" x14ac:dyDescent="0.25">
      <c r="A56" s="5" t="s">
        <v>47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f>SUM(B56:M56)</f>
        <v>0</v>
      </c>
    </row>
    <row r="57" spans="1:14" ht="17.25" customHeight="1" x14ac:dyDescent="0.25">
      <c r="A57" s="5" t="s">
        <v>48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360655.92</v>
      </c>
      <c r="J57" s="24">
        <v>0</v>
      </c>
      <c r="K57" s="24">
        <v>0</v>
      </c>
      <c r="L57" s="24">
        <v>0</v>
      </c>
      <c r="M57" s="24">
        <v>0</v>
      </c>
      <c r="N57" s="24">
        <f>SUM(B57:M57)</f>
        <v>360655.92</v>
      </c>
    </row>
    <row r="58" spans="1:14" ht="17.25" customHeight="1" x14ac:dyDescent="0.25">
      <c r="A58" s="5" t="s">
        <v>49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ht="17.25" customHeight="1" x14ac:dyDescent="0.25">
      <c r="A59" s="5" t="s">
        <v>50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</row>
    <row r="60" spans="1:14" ht="17.25" customHeight="1" x14ac:dyDescent="0.25">
      <c r="A60" s="5" t="s">
        <v>51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ht="17.25" customHeight="1" x14ac:dyDescent="0.25">
      <c r="A61" s="5" t="s">
        <v>52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</row>
    <row r="62" spans="1:14" ht="17.25" customHeight="1" x14ac:dyDescent="0.25">
      <c r="A62" s="3" t="s">
        <v>53</v>
      </c>
      <c r="B62" s="25">
        <f t="shared" ref="B62:N62" si="6">B63</f>
        <v>0</v>
      </c>
      <c r="C62" s="25">
        <f t="shared" si="6"/>
        <v>0</v>
      </c>
      <c r="D62" s="25">
        <f t="shared" si="6"/>
        <v>0</v>
      </c>
      <c r="E62" s="25">
        <f t="shared" si="6"/>
        <v>0</v>
      </c>
      <c r="F62" s="25">
        <f t="shared" si="6"/>
        <v>0</v>
      </c>
      <c r="G62" s="25">
        <f t="shared" si="6"/>
        <v>0</v>
      </c>
      <c r="H62" s="25">
        <f t="shared" si="6"/>
        <v>0</v>
      </c>
      <c r="I62" s="25">
        <f t="shared" si="6"/>
        <v>0</v>
      </c>
      <c r="J62" s="25">
        <f t="shared" si="6"/>
        <v>0</v>
      </c>
      <c r="K62" s="25">
        <f t="shared" si="6"/>
        <v>0</v>
      </c>
      <c r="L62" s="25">
        <f t="shared" si="6"/>
        <v>0</v>
      </c>
      <c r="M62" s="25">
        <f t="shared" si="6"/>
        <v>0</v>
      </c>
      <c r="N62" s="25">
        <f t="shared" si="6"/>
        <v>0</v>
      </c>
    </row>
    <row r="63" spans="1:14" ht="17.25" customHeight="1" x14ac:dyDescent="0.25">
      <c r="A63" s="5" t="s">
        <v>54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</row>
    <row r="64" spans="1:14" ht="17.25" customHeight="1" x14ac:dyDescent="0.25">
      <c r="A64" s="5" t="s">
        <v>55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ht="17.25" customHeight="1" x14ac:dyDescent="0.25">
      <c r="A65" s="5" t="s">
        <v>56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</row>
    <row r="66" spans="1:14" ht="17.25" customHeight="1" x14ac:dyDescent="0.25">
      <c r="A66" s="5" t="s">
        <v>57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ht="17.25" customHeight="1" x14ac:dyDescent="0.25">
      <c r="A67" s="3" t="s">
        <v>58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</row>
    <row r="68" spans="1:14" ht="17.25" customHeight="1" x14ac:dyDescent="0.25">
      <c r="A68" s="5" t="s">
        <v>59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</row>
    <row r="69" spans="1:14" ht="17.25" customHeight="1" x14ac:dyDescent="0.25">
      <c r="A69" s="5" t="s">
        <v>60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</row>
    <row r="70" spans="1:14" ht="17.25" customHeight="1" x14ac:dyDescent="0.25">
      <c r="A70" s="3" t="s">
        <v>61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</row>
    <row r="71" spans="1:14" ht="17.25" customHeight="1" x14ac:dyDescent="0.25">
      <c r="A71" s="5" t="s">
        <v>62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ht="17.25" customHeight="1" x14ac:dyDescent="0.25">
      <c r="A72" s="5" t="s">
        <v>63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ht="17.25" customHeight="1" x14ac:dyDescent="0.25">
      <c r="A73" s="5" t="s">
        <v>64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ht="17.25" customHeight="1" x14ac:dyDescent="0.25">
      <c r="A74" s="1" t="s">
        <v>67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</row>
    <row r="75" spans="1:14" ht="17.25" customHeight="1" x14ac:dyDescent="0.25">
      <c r="A75" s="3" t="s">
        <v>68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</row>
    <row r="76" spans="1:14" ht="17.25" customHeight="1" x14ac:dyDescent="0.25">
      <c r="A76" s="5" t="s">
        <v>69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</row>
    <row r="77" spans="1:14" ht="17.25" customHeight="1" x14ac:dyDescent="0.25">
      <c r="A77" s="5" t="s">
        <v>70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</row>
    <row r="78" spans="1:14" ht="17.25" customHeight="1" x14ac:dyDescent="0.25">
      <c r="A78" s="3" t="s">
        <v>71</v>
      </c>
      <c r="B78" s="25">
        <v>0</v>
      </c>
      <c r="C78" s="25">
        <v>0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</row>
    <row r="79" spans="1:14" ht="17.25" customHeight="1" x14ac:dyDescent="0.25">
      <c r="A79" s="5" t="s">
        <v>72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</row>
    <row r="80" spans="1:14" ht="17.25" customHeight="1" x14ac:dyDescent="0.25">
      <c r="A80" s="5" t="s">
        <v>73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</row>
    <row r="81" spans="1:14" ht="17.25" customHeight="1" x14ac:dyDescent="0.25">
      <c r="A81" s="3" t="s">
        <v>74</v>
      </c>
      <c r="B81" s="25">
        <v>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</row>
    <row r="82" spans="1:14" ht="17.25" customHeight="1" x14ac:dyDescent="0.25">
      <c r="A82" s="5" t="s">
        <v>75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</row>
    <row r="83" spans="1:14" x14ac:dyDescent="0.25">
      <c r="A83" s="9" t="s">
        <v>65</v>
      </c>
      <c r="B83" s="26">
        <f>B10+B16+B24+B52+B26</f>
        <v>18713727.129999999</v>
      </c>
      <c r="C83" s="26">
        <f>C52+C16+C10+C26</f>
        <v>17849471.489999998</v>
      </c>
      <c r="D83" s="26">
        <f>D52+D16+D10+D26+D36</f>
        <v>19563881.91</v>
      </c>
      <c r="E83" s="26">
        <f>E52+E16+E10+E26</f>
        <v>31799117.909999996</v>
      </c>
      <c r="F83" s="26">
        <f>F52+F16+F10+F26</f>
        <v>21915269.530000001</v>
      </c>
      <c r="G83" s="26">
        <f>G52+G16+G10+G26</f>
        <v>20490201.379999999</v>
      </c>
      <c r="H83" s="26">
        <f>H52+H16+H10+H26</f>
        <v>20416599.809999999</v>
      </c>
      <c r="I83" s="26">
        <f>I52+I26+I16+I10</f>
        <v>29797480.900000002</v>
      </c>
      <c r="J83" s="26">
        <f>J52+J16+J10</f>
        <v>0</v>
      </c>
      <c r="K83" s="26">
        <f>K52+K16+K10+K26</f>
        <v>0</v>
      </c>
      <c r="L83" s="26">
        <f>L52+L16+L10+L26</f>
        <v>0</v>
      </c>
      <c r="M83" s="26">
        <f>M10+M16+M52+M26</f>
        <v>0</v>
      </c>
      <c r="N83" s="26">
        <f>N52+N26+N16+N10+N36</f>
        <v>180545750.06</v>
      </c>
    </row>
    <row r="85" spans="1:14" ht="18.75" x14ac:dyDescent="0.3">
      <c r="A85" s="31" t="s">
        <v>102</v>
      </c>
      <c r="B85" s="30"/>
      <c r="C85" s="30"/>
      <c r="D85" s="30"/>
      <c r="E85" s="31" t="s">
        <v>103</v>
      </c>
      <c r="G85" s="32"/>
      <c r="I85" s="33"/>
      <c r="J85" s="30"/>
    </row>
    <row r="86" spans="1:14" ht="47.25" customHeight="1" x14ac:dyDescent="0.3">
      <c r="A86" s="34" t="s">
        <v>104</v>
      </c>
      <c r="B86" s="32"/>
      <c r="C86" s="30"/>
      <c r="D86" s="30"/>
      <c r="E86" s="34" t="s">
        <v>104</v>
      </c>
      <c r="G86" s="34"/>
      <c r="H86" s="30"/>
      <c r="I86" s="30"/>
      <c r="J86" s="30"/>
    </row>
    <row r="87" spans="1:14" ht="18.75" x14ac:dyDescent="0.3">
      <c r="A87" s="32" t="s">
        <v>105</v>
      </c>
      <c r="B87" s="32"/>
      <c r="C87" s="30"/>
      <c r="D87" s="30"/>
      <c r="E87" s="32" t="s">
        <v>108</v>
      </c>
      <c r="F87" s="36"/>
      <c r="G87" s="36"/>
      <c r="H87" s="36"/>
      <c r="I87" s="36"/>
      <c r="J87" s="30"/>
    </row>
    <row r="88" spans="1:14" ht="18.75" x14ac:dyDescent="0.3">
      <c r="A88" s="32" t="s">
        <v>107</v>
      </c>
      <c r="B88" s="32"/>
      <c r="C88" s="30"/>
      <c r="D88" s="30"/>
      <c r="E88" s="32" t="s">
        <v>109</v>
      </c>
      <c r="G88" s="32"/>
      <c r="H88" s="30"/>
      <c r="I88" s="30"/>
      <c r="J88" s="30"/>
    </row>
    <row r="89" spans="1:14" ht="18.75" x14ac:dyDescent="0.3">
      <c r="C89" s="30"/>
      <c r="D89" s="30"/>
      <c r="E89" s="30"/>
      <c r="G89" s="30"/>
      <c r="H89" s="30"/>
      <c r="I89" s="30"/>
      <c r="J89" s="30"/>
    </row>
    <row r="90" spans="1:14" ht="18.75" x14ac:dyDescent="0.25">
      <c r="A90" s="32"/>
    </row>
  </sheetData>
  <mergeCells count="5">
    <mergeCell ref="A3:N3"/>
    <mergeCell ref="A4:N4"/>
    <mergeCell ref="A5:N5"/>
    <mergeCell ref="A6:N6"/>
    <mergeCell ref="A2:N2"/>
  </mergeCells>
  <pageMargins left="0.11811023622047245" right="0.11811023622047245" top="0.55118110236220474" bottom="0.59055118110236227" header="0.31496062992125984" footer="0.31496062992125984"/>
  <pageSetup paperSize="5" scale="6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'P2 Presupuesto Aprobado-Ejec '!Print_Titles</vt:lpstr>
      <vt:lpstr>'P3 Ejecucion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Graciela Reyes Sanchez</cp:lastModifiedBy>
  <cp:lastPrinted>2023-09-04T15:27:56Z</cp:lastPrinted>
  <dcterms:created xsi:type="dcterms:W3CDTF">2021-07-29T18:58:50Z</dcterms:created>
  <dcterms:modified xsi:type="dcterms:W3CDTF">2023-09-04T15:29:06Z</dcterms:modified>
</cp:coreProperties>
</file>