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s\2023\Financiero\Presupuesto\Julio\"/>
    </mc:Choice>
  </mc:AlternateContent>
  <xr:revisionPtr revIDLastSave="0" documentId="13_ncr:1_{A81FADDC-9B6B-4661-91E2-E8C20F91A77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3" i="3" l="1"/>
  <c r="D26" i="3"/>
  <c r="J13" i="2" l="1"/>
  <c r="J26" i="2"/>
  <c r="J23" i="2"/>
  <c r="J37" i="2"/>
  <c r="J19" i="2"/>
  <c r="J18" i="2" s="1"/>
  <c r="J17" i="2"/>
  <c r="F35" i="3"/>
  <c r="H37" i="2"/>
  <c r="G83" i="3" l="1"/>
  <c r="G16" i="3"/>
  <c r="G26" i="3"/>
  <c r="I28" i="2"/>
  <c r="I24" i="2"/>
  <c r="I23" i="2"/>
  <c r="I19" i="2"/>
  <c r="I18" i="2" s="1"/>
  <c r="I17" i="2"/>
  <c r="I13" i="2"/>
  <c r="I12" i="2" s="1"/>
  <c r="E54" i="1"/>
  <c r="N37" i="3"/>
  <c r="F52" i="3"/>
  <c r="F26" i="3"/>
  <c r="F83" i="3" s="1"/>
  <c r="F16" i="3"/>
  <c r="C54" i="2"/>
  <c r="P39" i="2" l="1"/>
  <c r="H18" i="2" l="1"/>
  <c r="H54" i="2"/>
  <c r="H31" i="2"/>
  <c r="H29" i="2"/>
  <c r="H28" i="2" s="1"/>
  <c r="H23" i="2"/>
  <c r="H19" i="2"/>
  <c r="E83" i="3"/>
  <c r="E16" i="3"/>
  <c r="E22" i="3"/>
  <c r="D16" i="3"/>
  <c r="D10" i="3"/>
  <c r="F28" i="2"/>
  <c r="F23" i="2"/>
  <c r="F19" i="2"/>
  <c r="F13" i="2"/>
  <c r="F17" i="2"/>
  <c r="C16" i="3"/>
  <c r="E19" i="2"/>
  <c r="E18" i="2" s="1"/>
  <c r="E13" i="2"/>
  <c r="E17" i="2"/>
  <c r="D19" i="2"/>
  <c r="D17" i="2"/>
  <c r="D13" i="2"/>
  <c r="D28" i="1"/>
  <c r="D12" i="1"/>
  <c r="M16" i="3"/>
  <c r="M26" i="3"/>
  <c r="M52" i="3"/>
  <c r="O18" i="2"/>
  <c r="L16" i="3"/>
  <c r="K26" i="3"/>
  <c r="P36" i="2"/>
  <c r="P59" i="2"/>
  <c r="P58" i="2"/>
  <c r="P57" i="2"/>
  <c r="H16" i="3" l="1"/>
  <c r="H52" i="3"/>
  <c r="H26" i="3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E26" i="3"/>
  <c r="C26" i="3"/>
  <c r="K52" i="3"/>
  <c r="D52" i="3"/>
  <c r="C52" i="3"/>
  <c r="B52" i="3"/>
  <c r="B26" i="3"/>
  <c r="B18" i="2"/>
  <c r="D18" i="1" l="1"/>
  <c r="M10" i="3"/>
  <c r="O54" i="2"/>
  <c r="C38" i="2"/>
  <c r="C18" i="2"/>
  <c r="N54" i="3"/>
  <c r="L26" i="3"/>
  <c r="L52" i="3"/>
  <c r="L10" i="3"/>
  <c r="I16" i="3"/>
  <c r="I10" i="3"/>
  <c r="I26" i="3"/>
  <c r="K10" i="3"/>
  <c r="K83" i="3" s="1"/>
  <c r="N35" i="3"/>
  <c r="N33" i="3"/>
  <c r="N32" i="3"/>
  <c r="N31" i="3"/>
  <c r="N30" i="3"/>
  <c r="N29" i="3"/>
  <c r="N28" i="3"/>
  <c r="N27" i="3"/>
  <c r="J52" i="3"/>
  <c r="I52" i="3"/>
  <c r="N53" i="3"/>
  <c r="J26" i="3"/>
  <c r="N25" i="3"/>
  <c r="K16" i="3"/>
  <c r="J16" i="3"/>
  <c r="B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C10" i="3"/>
  <c r="B10" i="3"/>
  <c r="N11" i="3"/>
  <c r="P56" i="2"/>
  <c r="P55" i="2"/>
  <c r="N54" i="2"/>
  <c r="M54" i="2"/>
  <c r="L54" i="2"/>
  <c r="K54" i="2"/>
  <c r="J54" i="2"/>
  <c r="I54" i="2"/>
  <c r="P31" i="2"/>
  <c r="P37" i="2"/>
  <c r="P35" i="2"/>
  <c r="P34" i="2"/>
  <c r="P33" i="2"/>
  <c r="P32" i="2"/>
  <c r="P30" i="2"/>
  <c r="P29" i="2"/>
  <c r="P27" i="2"/>
  <c r="P25" i="2"/>
  <c r="P22" i="2"/>
  <c r="P21" i="2"/>
  <c r="P20" i="2"/>
  <c r="K18" i="2"/>
  <c r="P26" i="2"/>
  <c r="P24" i="2"/>
  <c r="P23" i="2"/>
  <c r="P19" i="2"/>
  <c r="P17" i="2"/>
  <c r="P14" i="2"/>
  <c r="P13" i="2"/>
  <c r="G54" i="2"/>
  <c r="F54" i="2"/>
  <c r="F85" i="2" s="1"/>
  <c r="E54" i="2"/>
  <c r="D54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O28" i="2"/>
  <c r="N28" i="2"/>
  <c r="M28" i="2"/>
  <c r="L28" i="2"/>
  <c r="K28" i="2"/>
  <c r="J28" i="2"/>
  <c r="G28" i="2"/>
  <c r="E28" i="2"/>
  <c r="D28" i="2"/>
  <c r="N18" i="2"/>
  <c r="M18" i="2"/>
  <c r="L18" i="2"/>
  <c r="G18" i="2"/>
  <c r="F18" i="2"/>
  <c r="D18" i="2"/>
  <c r="O12" i="2"/>
  <c r="N12" i="2"/>
  <c r="M12" i="2"/>
  <c r="L12" i="2"/>
  <c r="K12" i="2"/>
  <c r="J12" i="2"/>
  <c r="H12" i="2"/>
  <c r="G12" i="2"/>
  <c r="F12" i="2"/>
  <c r="E12" i="2"/>
  <c r="D12" i="2"/>
  <c r="B54" i="2"/>
  <c r="B38" i="2"/>
  <c r="C28" i="2"/>
  <c r="B28" i="2"/>
  <c r="B12" i="2"/>
  <c r="C12" i="2"/>
  <c r="I85" i="2" l="1"/>
  <c r="P12" i="2"/>
  <c r="C83" i="3"/>
  <c r="B83" i="3"/>
  <c r="M83" i="3"/>
  <c r="J83" i="3"/>
  <c r="L83" i="3"/>
  <c r="B85" i="2"/>
  <c r="P54" i="2"/>
  <c r="C85" i="2"/>
  <c r="I83" i="3"/>
  <c r="N26" i="3"/>
  <c r="N10" i="3"/>
  <c r="N16" i="3"/>
  <c r="N52" i="3"/>
  <c r="P28" i="2"/>
  <c r="G85" i="2"/>
  <c r="P18" i="2"/>
  <c r="O85" i="2"/>
  <c r="M85" i="2"/>
  <c r="N85" i="2"/>
  <c r="H85" i="2"/>
  <c r="L85" i="2"/>
  <c r="K85" i="2"/>
  <c r="J85" i="2"/>
  <c r="E85" i="2"/>
  <c r="D85" i="2"/>
  <c r="D54" i="1"/>
  <c r="E38" i="1"/>
  <c r="D38" i="1"/>
  <c r="E28" i="1"/>
  <c r="E18" i="1"/>
  <c r="E12" i="1"/>
  <c r="N83" i="3" l="1"/>
  <c r="E85" i="1"/>
  <c r="D85" i="1"/>
  <c r="P85" i="2"/>
</calcChain>
</file>

<file path=xl/sharedStrings.xml><?xml version="1.0" encoding="utf-8"?>
<sst xmlns="http://schemas.openxmlformats.org/spreadsheetml/2006/main" count="291" uniqueCount="115">
  <si>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</si>
  <si>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</si>
  <si>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</si>
  <si>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</si>
  <si>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</si>
  <si>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</si>
  <si>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</si>
  <si>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</si>
  <si>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</si>
  <si>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</si>
  <si>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</si>
  <si>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</si>
  <si>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</si>
  <si>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</si>
  <si>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</si>
  <si>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</si>
  <si>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</si>
  <si>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</si>
  <si>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</si>
  <si>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</si>
  <si>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</si>
  <si>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</si>
  <si>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</si>
  <si>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</si>
  <si>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</si>
  <si>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</si>
  <si>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</si>
  <si>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</si>
  <si>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</si>
  <si>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</si>
  <si>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</si>
  <si>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</si>
  <si>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</si>
  <si>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</si>
  <si>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</si>
  <si>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</si>
  <si>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</si>
  <si>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</si>
  <si>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</si>
  <si>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</si>
  <si>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</si>
  <si>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</si>
  <si>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</si>
  <si>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</si>
  <si>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</si>
  <si>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</si>
  <si>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</si>
  <si>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</si>
  <si>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</si>
  <si>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</si>
  <si>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</si>
  <si>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</si>
  <si>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</si>
  <si>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</si>
  <si>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</si>
  <si>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</si>
  <si>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</si>
  <si>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</si>
  <si>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</si>
  <si>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</si>
  <si>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</si>
  <si>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</si>
  <si>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</si>
  <si>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</si>
  <si>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</si>
  <si>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</si>
  <si>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</si>
  <si>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</si>
  <si>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</si>
  <si>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</si>
  <si>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</si>
  <si>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</si>
  <si>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</si>
  <si>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</si>
  <si>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</si>
  <si>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</si>
  <si>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</si>
  <si>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</si>
  <si>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</si>
  <si>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</si>
  <si>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</si>
  <si>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</si>
  <si>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</si>
  <si>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</si>
  <si>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</si>
  <si>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</si>
  <si>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</si>
  <si>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</si>
  <si>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</si>
  <si>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</si>
  <si>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</si>
  <si>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</si>
  <si>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</si>
  <si>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</si>
  <si>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</si>
  <si>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</si>
  <si>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</si>
  <si>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</si>
  <si>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</si>
  <si>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</si>
  <si>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</si>
  <si>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</si>
  <si>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</si>
  <si>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</si>
  <si>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</si>
  <si>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</si>
  <si>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</si>
  <si>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</si>
  <si>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Altagracia Ramona Peralta</t>
  </si>
  <si>
    <t xml:space="preserve">                                                                                                                     Directora Administrativa y Financiera </t>
  </si>
  <si>
    <t>Altagracia Ramona Peralta</t>
  </si>
  <si>
    <t xml:space="preserve">                                                                                                                      Directora  Administrativa y Financiera</t>
  </si>
  <si>
    <t>Sept</t>
  </si>
  <si>
    <t>Octub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</si>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</sst>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9" fillId="3" borderId="0" xfId="0" applyFont="1" applyFill="1"/>
    <xf numFmtId="0" fontId="10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666750</xdr:colOff>
      <xdr:row>0</xdr:row>
      <xdr:rowOff>114300</xdr:rowOff>
    </xdr:from>
    <xdr:to>
      <xdr:col>5</xdr:col>
      <xdr:colOff>330835</xdr:colOff>
      <xdr:row>5</xdr:row>
      <xdr:rowOff>167005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EB237-2C86-3E8B-AF53-AB03ECF60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114300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590551</xdr:colOff>
      <xdr:row>0</xdr:row>
      <xdr:rowOff>171450</xdr:rowOff>
    </xdr:from>
    <xdr:to>
      <xdr:col>16</xdr:col>
      <xdr:colOff>16511</xdr:colOff>
      <xdr:row>6</xdr:row>
      <xdr:rowOff>24130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B56910F4-0375-A976-BF1E-298FB2B04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1" y="171450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781050</xdr:colOff>
      <xdr:row>0</xdr:row>
      <xdr:rowOff>0</xdr:rowOff>
    </xdr:from>
    <xdr:to>
      <xdr:col>13</xdr:col>
      <xdr:colOff>816610</xdr:colOff>
      <xdr:row>5</xdr:row>
      <xdr:rowOff>43180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A451AAFC-4916-9595-E0CF-008D9713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5" y="0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50" workbookViewId="0">
      <selection activeCell="G58" sqref="G58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9" t="s">
        <v>98</v>
      </c>
      <c r="D3" s="39"/>
      <c r="E3" s="3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9" t="s">
        <v>99</v>
      </c>
      <c r="D4" s="39"/>
      <c r="E4" s="39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5">
        <v>2023</v>
      </c>
      <c r="D5" s="46"/>
      <c r="E5" s="46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0" t="s">
        <v>76</v>
      </c>
      <c r="D6" s="41"/>
      <c r="E6" s="41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0" t="s">
        <v>77</v>
      </c>
      <c r="D7" s="41"/>
      <c r="E7" s="41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2" t="s">
        <v>66</v>
      </c>
      <c r="D9" s="43" t="s">
        <v>94</v>
      </c>
      <c r="E9" s="43" t="s">
        <v>93</v>
      </c>
      <c r="F9" s="8"/>
    </row>
    <row r="10" spans="2:16" ht="23.25" customHeight="1" x14ac:dyDescent="0.25">
      <c r="C10" s="42"/>
      <c r="D10" s="44"/>
      <c r="E10" s="44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201090287</v>
      </c>
      <c r="E12" s="4">
        <f>E13+E14+E17</f>
        <v>207066153</v>
      </c>
      <c r="F12" s="8"/>
    </row>
    <row r="13" spans="2:16" x14ac:dyDescent="0.25">
      <c r="C13" s="5" t="s">
        <v>2</v>
      </c>
      <c r="D13" s="6">
        <v>162971440</v>
      </c>
      <c r="E13" s="6">
        <v>169529877</v>
      </c>
      <c r="F13" s="8"/>
    </row>
    <row r="14" spans="2:16" x14ac:dyDescent="0.25">
      <c r="C14" s="5" t="s">
        <v>3</v>
      </c>
      <c r="D14" s="6">
        <v>16002000</v>
      </c>
      <c r="E14" s="6">
        <v>14773547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22116847</v>
      </c>
      <c r="E17" s="6">
        <v>22762729</v>
      </c>
      <c r="F17" s="8"/>
    </row>
    <row r="18" spans="3:6" x14ac:dyDescent="0.25">
      <c r="C18" s="3" t="s">
        <v>7</v>
      </c>
      <c r="D18" s="4">
        <f>D19+D20+D21+D22+D23+D24+D25+D26+D27</f>
        <v>94648456</v>
      </c>
      <c r="E18" s="4">
        <f>E19+E20+E21+E22+E23+E24+E25+E26+E27</f>
        <v>107234345</v>
      </c>
      <c r="F18" s="8"/>
    </row>
    <row r="19" spans="3:6" x14ac:dyDescent="0.25">
      <c r="C19" s="5" t="s">
        <v>8</v>
      </c>
      <c r="D19" s="6">
        <v>22382750</v>
      </c>
      <c r="E19" s="6">
        <v>24482750</v>
      </c>
      <c r="F19" s="8"/>
    </row>
    <row r="20" spans="3:6" x14ac:dyDescent="0.25">
      <c r="C20" s="5" t="s">
        <v>9</v>
      </c>
      <c r="D20" s="6">
        <v>700000</v>
      </c>
      <c r="E20" s="6">
        <v>526000</v>
      </c>
      <c r="F20" s="8"/>
    </row>
    <row r="21" spans="3:6" x14ac:dyDescent="0.25">
      <c r="C21" s="5" t="s">
        <v>10</v>
      </c>
      <c r="D21" s="6">
        <v>4200000</v>
      </c>
      <c r="E21" s="6">
        <v>4200000</v>
      </c>
      <c r="F21" s="8"/>
    </row>
    <row r="22" spans="3:6" x14ac:dyDescent="0.25">
      <c r="C22" s="5" t="s">
        <v>11</v>
      </c>
      <c r="D22" s="6">
        <v>2720000</v>
      </c>
      <c r="E22" s="6">
        <v>2776000</v>
      </c>
      <c r="F22" s="8"/>
    </row>
    <row r="23" spans="3:6" x14ac:dyDescent="0.25">
      <c r="C23" s="5" t="s">
        <v>12</v>
      </c>
      <c r="D23" s="6">
        <v>20595526</v>
      </c>
      <c r="E23" s="6">
        <v>21025251</v>
      </c>
    </row>
    <row r="24" spans="3:6" x14ac:dyDescent="0.25">
      <c r="C24" s="5" t="s">
        <v>13</v>
      </c>
      <c r="D24" s="6">
        <v>13398400</v>
      </c>
      <c r="E24" s="6">
        <v>13289830</v>
      </c>
    </row>
    <row r="25" spans="3:6" x14ac:dyDescent="0.25">
      <c r="C25" s="5" t="s">
        <v>14</v>
      </c>
      <c r="D25" s="6">
        <v>2156200</v>
      </c>
      <c r="E25" s="6">
        <v>4962700</v>
      </c>
    </row>
    <row r="26" spans="3:6" x14ac:dyDescent="0.25">
      <c r="C26" s="5" t="s">
        <v>15</v>
      </c>
      <c r="D26" s="6">
        <v>25715580</v>
      </c>
      <c r="E26" s="6">
        <v>33291814</v>
      </c>
    </row>
    <row r="27" spans="3:6" x14ac:dyDescent="0.25">
      <c r="C27" s="5" t="s">
        <v>16</v>
      </c>
      <c r="D27" s="6">
        <v>2780000</v>
      </c>
      <c r="E27" s="6">
        <v>2680000</v>
      </c>
    </row>
    <row r="28" spans="3:6" x14ac:dyDescent="0.25">
      <c r="C28" s="3" t="s">
        <v>17</v>
      </c>
      <c r="D28" s="4">
        <f>D29+D30+D31+D32+D33+D34+D35+D37</f>
        <v>17410024</v>
      </c>
      <c r="E28" s="4">
        <f>E29+E30+E31+E32+E33+E34+E35+E37</f>
        <v>16044269</v>
      </c>
    </row>
    <row r="29" spans="3:6" x14ac:dyDescent="0.25">
      <c r="C29" s="5" t="s">
        <v>18</v>
      </c>
      <c r="D29" s="6">
        <v>5385000</v>
      </c>
      <c r="E29" s="6">
        <v>873300</v>
      </c>
    </row>
    <row r="30" spans="3:6" x14ac:dyDescent="0.25">
      <c r="C30" s="5" t="s">
        <v>19</v>
      </c>
      <c r="D30" s="6">
        <v>308000</v>
      </c>
      <c r="E30" s="6">
        <v>471000</v>
      </c>
    </row>
    <row r="31" spans="3:6" x14ac:dyDescent="0.25">
      <c r="C31" s="5" t="s">
        <v>20</v>
      </c>
      <c r="D31" s="6">
        <v>675000</v>
      </c>
      <c r="E31" s="6">
        <v>677000</v>
      </c>
    </row>
    <row r="32" spans="3:6" x14ac:dyDescent="0.25">
      <c r="C32" s="5" t="s">
        <v>21</v>
      </c>
      <c r="D32" s="6">
        <v>50000</v>
      </c>
      <c r="E32" s="6">
        <v>50000</v>
      </c>
    </row>
    <row r="33" spans="3:5" x14ac:dyDescent="0.25">
      <c r="C33" s="5" t="s">
        <v>22</v>
      </c>
      <c r="D33" s="6">
        <v>385000</v>
      </c>
      <c r="E33" s="6">
        <v>399800</v>
      </c>
    </row>
    <row r="34" spans="3:5" x14ac:dyDescent="0.25">
      <c r="C34" s="5" t="s">
        <v>23</v>
      </c>
      <c r="D34" s="6">
        <v>120000</v>
      </c>
      <c r="E34" s="6">
        <v>130500</v>
      </c>
    </row>
    <row r="35" spans="3:5" x14ac:dyDescent="0.25">
      <c r="C35" s="5" t="s">
        <v>24</v>
      </c>
      <c r="D35" s="6">
        <v>7350000</v>
      </c>
      <c r="E35" s="6">
        <v>10503945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3137024</v>
      </c>
      <c r="E37" s="6">
        <v>2938724</v>
      </c>
    </row>
    <row r="38" spans="3:5" x14ac:dyDescent="0.25">
      <c r="C38" s="3" t="s">
        <v>27</v>
      </c>
      <c r="D38" s="4">
        <f>D39</f>
        <v>0</v>
      </c>
      <c r="E38" s="4">
        <f>E39</f>
        <v>24000</v>
      </c>
    </row>
    <row r="39" spans="3:5" x14ac:dyDescent="0.25">
      <c r="C39" s="5" t="s">
        <v>28</v>
      </c>
      <c r="D39" s="6">
        <v>0</v>
      </c>
      <c r="E39" s="6">
        <v>24000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2065000</v>
      </c>
      <c r="E54" s="4">
        <f>E55+E58+E59+E56+E62</f>
        <v>4845000</v>
      </c>
    </row>
    <row r="55" spans="3:5" x14ac:dyDescent="0.25">
      <c r="C55" s="5" t="s">
        <v>44</v>
      </c>
      <c r="D55" s="6">
        <v>1965000</v>
      </c>
      <c r="E55" s="6">
        <v>1512000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100000</v>
      </c>
      <c r="E59" s="6">
        <v>3103000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230000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315213767</v>
      </c>
      <c r="E85" s="23">
        <f>E54+E38+E28+E18+E12</f>
        <v>335213767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35433070866141736" bottom="0.35433070866141736" header="0.31496062992125984" footer="0.31496062992125984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98"/>
  <sheetViews>
    <sheetView showGridLines="0" topLeftCell="A95" workbookViewId="0">
      <selection activeCell="B59" sqref="B59"/>
    </sheetView>
  </sheetViews>
  <sheetFormatPr defaultColWidth="11.42578125" defaultRowHeight="15" x14ac:dyDescent="0.25"/>
  <cols>
    <col min="1" max="1" width="76.42578125" customWidth="1"/>
    <col min="2" max="2" width="19.5703125" customWidth="1"/>
    <col min="3" max="3" width="16.7109375" customWidth="1"/>
    <col min="4" max="4" width="13.140625" customWidth="1"/>
    <col min="5" max="5" width="15.140625" customWidth="1"/>
    <col min="6" max="7" width="13.28515625" customWidth="1"/>
    <col min="8" max="8" width="13.7109375" customWidth="1"/>
    <col min="9" max="9" width="13" customWidth="1"/>
    <col min="10" max="10" width="12.85546875" customWidth="1"/>
    <col min="11" max="12" width="7.140625" customWidth="1"/>
    <col min="13" max="13" width="7" customWidth="1"/>
    <col min="14" max="14" width="7.42578125" customWidth="1"/>
    <col min="15" max="15" width="13.42578125" customWidth="1"/>
    <col min="16" max="16" width="15.5703125" customWidth="1"/>
  </cols>
  <sheetData>
    <row r="3" spans="1:17" ht="28.5" customHeight="1" x14ac:dyDescent="0.25">
      <c r="A3" s="51" t="s">
        <v>98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7" ht="21" customHeight="1" x14ac:dyDescent="0.25">
      <c r="A4" s="53" t="s">
        <v>100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7" ht="15.75" x14ac:dyDescent="0.25">
      <c r="A5" s="45">
        <v>2023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7" ht="15.75" customHeight="1" x14ac:dyDescent="0.25">
      <c r="A6" s="40" t="s">
        <v>92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7" ht="12.75" customHeight="1" x14ac:dyDescent="0.25">
      <c r="A7" s="41" t="s">
        <v>77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7" hidden="1" x14ac:dyDescent="0.25"/>
    <row r="9" spans="1:17" ht="25.5" customHeight="1" x14ac:dyDescent="0.25">
      <c r="A9" s="42" t="s">
        <v>66</v>
      </c>
      <c r="B9" s="43" t="s">
        <v>94</v>
      </c>
      <c r="C9" s="43" t="s">
        <v>93</v>
      </c>
      <c r="D9" s="48" t="s">
        <v>91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0"/>
    </row>
    <row r="10" spans="1:17" x14ac:dyDescent="0.25">
      <c r="A10" s="42"/>
      <c r="B10" s="44"/>
      <c r="C10" s="44"/>
      <c r="D10" s="15" t="s">
        <v>79</v>
      </c>
      <c r="E10" s="15" t="s">
        <v>80</v>
      </c>
      <c r="F10" s="15" t="s">
        <v>81</v>
      </c>
      <c r="G10" s="15" t="s">
        <v>82</v>
      </c>
      <c r="H10" s="16" t="s">
        <v>83</v>
      </c>
      <c r="I10" s="15" t="s">
        <v>84</v>
      </c>
      <c r="J10" s="16" t="s">
        <v>85</v>
      </c>
      <c r="K10" s="15" t="s">
        <v>86</v>
      </c>
      <c r="L10" s="15" t="s">
        <v>112</v>
      </c>
      <c r="M10" s="15" t="s">
        <v>113</v>
      </c>
      <c r="N10" s="15" t="s">
        <v>114</v>
      </c>
      <c r="O10" s="16" t="s">
        <v>90</v>
      </c>
      <c r="P10" s="15" t="s">
        <v>78</v>
      </c>
    </row>
    <row r="11" spans="1:17" x14ac:dyDescent="0.25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x14ac:dyDescent="0.25">
      <c r="A12" s="3" t="s">
        <v>1</v>
      </c>
      <c r="B12" s="25">
        <f>B13+B14+B17</f>
        <v>201090287</v>
      </c>
      <c r="C12" s="25">
        <f>C13+C14+C17</f>
        <v>207066153</v>
      </c>
      <c r="D12" s="25">
        <f t="shared" ref="D12:O12" si="0">D13+D14+D17</f>
        <v>14650701.149999999</v>
      </c>
      <c r="E12" s="25">
        <f t="shared" si="0"/>
        <v>14449534.359999999</v>
      </c>
      <c r="F12" s="25">
        <f t="shared" si="0"/>
        <v>14278573.42</v>
      </c>
      <c r="G12" s="25">
        <f t="shared" si="0"/>
        <v>25352064.809999999</v>
      </c>
      <c r="H12" s="25">
        <f t="shared" si="0"/>
        <v>14652646.32</v>
      </c>
      <c r="I12" s="25">
        <f>I13+I14+I17</f>
        <v>14760392.779999999</v>
      </c>
      <c r="J12" s="25">
        <f t="shared" si="0"/>
        <v>14441462.310000002</v>
      </c>
      <c r="K12" s="25">
        <f t="shared" si="0"/>
        <v>0</v>
      </c>
      <c r="L12" s="25">
        <f t="shared" si="0"/>
        <v>0</v>
      </c>
      <c r="M12" s="25">
        <f t="shared" si="0"/>
        <v>0</v>
      </c>
      <c r="N12" s="25">
        <f t="shared" si="0"/>
        <v>0</v>
      </c>
      <c r="O12" s="25">
        <f t="shared" si="0"/>
        <v>0</v>
      </c>
      <c r="P12" s="25">
        <f>SUM(D12:O12)</f>
        <v>112585375.15000001</v>
      </c>
    </row>
    <row r="13" spans="1:17" x14ac:dyDescent="0.25">
      <c r="A13" s="5" t="s">
        <v>2</v>
      </c>
      <c r="B13" s="24">
        <v>162971440</v>
      </c>
      <c r="C13" s="24">
        <v>169529877</v>
      </c>
      <c r="D13" s="24">
        <f>11437160.16+85000+547515+524511.54</f>
        <v>12594186.699999999</v>
      </c>
      <c r="E13" s="24">
        <f>11612230.09+188000+457600+104082.83</f>
        <v>12361912.92</v>
      </c>
      <c r="F13" s="24">
        <f>11595163.42+151500+68500+379845.41</f>
        <v>12195008.83</v>
      </c>
      <c r="G13" s="24">
        <v>23219626.129999999</v>
      </c>
      <c r="H13" s="24">
        <v>12450963.42</v>
      </c>
      <c r="I13" s="24">
        <f>12093363.42+151500+255000+89755.43</f>
        <v>12589618.85</v>
      </c>
      <c r="J13" s="24">
        <f>6904290.73+5262972.69+100000</f>
        <v>12267263.420000002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f>SUM(D13:O13)</f>
        <v>97678580.269999996</v>
      </c>
    </row>
    <row r="14" spans="1:17" x14ac:dyDescent="0.25">
      <c r="A14" s="5" t="s">
        <v>3</v>
      </c>
      <c r="B14" s="24">
        <v>16002000</v>
      </c>
      <c r="C14" s="24">
        <v>14773547</v>
      </c>
      <c r="D14" s="24">
        <v>333500</v>
      </c>
      <c r="E14" s="24">
        <v>326500</v>
      </c>
      <c r="F14" s="24">
        <v>333500</v>
      </c>
      <c r="G14" s="24">
        <v>333500</v>
      </c>
      <c r="H14" s="24">
        <v>333500</v>
      </c>
      <c r="I14" s="24">
        <v>333500</v>
      </c>
      <c r="J14" s="24">
        <v>333500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f>SUM(D14:O14)</f>
        <v>2327500</v>
      </c>
    </row>
    <row r="15" spans="1:17" x14ac:dyDescent="0.25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17"/>
    </row>
    <row r="16" spans="1:17" x14ac:dyDescent="0.25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x14ac:dyDescent="0.25">
      <c r="A17" s="5" t="s">
        <v>6</v>
      </c>
      <c r="B17" s="24">
        <v>22116847</v>
      </c>
      <c r="C17" s="24">
        <v>22762729</v>
      </c>
      <c r="D17" s="24">
        <f>423326.8+426914.65+52985.16+380548.92+391158.71+48080.21</f>
        <v>1723014.45</v>
      </c>
      <c r="E17" s="24">
        <f>820940.99+837816.32+102364.13</f>
        <v>1761121.44</v>
      </c>
      <c r="F17" s="24">
        <f>814661.6+834013.09+101389.9</f>
        <v>1750064.5899999999</v>
      </c>
      <c r="G17" s="24">
        <v>1798938.68</v>
      </c>
      <c r="H17" s="24">
        <v>1868182.9</v>
      </c>
      <c r="I17" s="24">
        <f>860014.59+869385.29+107874.05</f>
        <v>1837273.93</v>
      </c>
      <c r="J17" s="24">
        <f>494763.74+497304.64+63297.34+366839.01+373671.05+44823.11</f>
        <v>1840698.8900000001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f t="shared" ref="P17:P27" si="1">SUM(D17:O17)</f>
        <v>12579294.879999999</v>
      </c>
    </row>
    <row r="18" spans="1:16" x14ac:dyDescent="0.25">
      <c r="A18" s="3" t="s">
        <v>7</v>
      </c>
      <c r="B18" s="25">
        <f>B19+B20+B21+B22+B23+B24+B25+B26+B27</f>
        <v>94648456</v>
      </c>
      <c r="C18" s="25">
        <f>C19+C20+C21+C22+C23+C24+C25+C26+C27</f>
        <v>107234345</v>
      </c>
      <c r="D18" s="25">
        <f t="shared" ref="D18:N18" si="2">D19+D20+D21+D22+D23+D24+D25+D26</f>
        <v>3346878.98</v>
      </c>
      <c r="E18" s="25">
        <f>E19+E20+E21+E22+E23+E24+E25+E26+E27</f>
        <v>3399937.1299999994</v>
      </c>
      <c r="F18" s="25">
        <f t="shared" si="2"/>
        <v>3778704.9499999997</v>
      </c>
      <c r="G18" s="25">
        <f t="shared" si="2"/>
        <v>6447053.0999999996</v>
      </c>
      <c r="H18" s="25">
        <f>H19+H20+H21+H22+H23+H24+H25+H26+H27</f>
        <v>6265516.1600000001</v>
      </c>
      <c r="I18" s="25">
        <f>I19+I20+I21+I22+I23+I24+I25+I26+I27</f>
        <v>5281734.8600000003</v>
      </c>
      <c r="J18" s="25">
        <f>J19+J20+J21+J22+J23+J24+J25+J26+J27</f>
        <v>4913524.29</v>
      </c>
      <c r="K18" s="25">
        <f>K19+K20+K21+K22+K23+K24+K25+K26+K27</f>
        <v>0</v>
      </c>
      <c r="L18" s="25">
        <f t="shared" si="2"/>
        <v>0</v>
      </c>
      <c r="M18" s="25">
        <f t="shared" si="2"/>
        <v>0</v>
      </c>
      <c r="N18" s="25">
        <f t="shared" si="2"/>
        <v>0</v>
      </c>
      <c r="O18" s="25">
        <f>O19+O20+O21+O22+O23+O24+O25+O26+O27</f>
        <v>0</v>
      </c>
      <c r="P18" s="25">
        <f t="shared" si="1"/>
        <v>33433349.469999995</v>
      </c>
    </row>
    <row r="19" spans="1:16" x14ac:dyDescent="0.25">
      <c r="A19" s="5" t="s">
        <v>8</v>
      </c>
      <c r="B19" s="24">
        <v>22382750</v>
      </c>
      <c r="C19" s="24">
        <v>24482750</v>
      </c>
      <c r="D19" s="24">
        <f>595154.24+277731.45+850178.77+597571.88</f>
        <v>2320636.34</v>
      </c>
      <c r="E19" s="24">
        <f>454347.01+242816.71+759296.66+680353.58</f>
        <v>2136813.96</v>
      </c>
      <c r="F19" s="24">
        <f>516422.87+245320.83+980623.85+559347.81</f>
        <v>2301715.36</v>
      </c>
      <c r="G19" s="24">
        <v>2103200.3199999998</v>
      </c>
      <c r="H19" s="24">
        <f>478675.46+235306.88+882139.77+575279.5</f>
        <v>2171401.6100000003</v>
      </c>
      <c r="I19" s="24">
        <f>452743.95+233843.57+892567.9+620321.14</f>
        <v>2199476.56</v>
      </c>
      <c r="J19" s="24">
        <f>418929.89+248477.89+906607.46+663272.47</f>
        <v>2237287.71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f t="shared" si="1"/>
        <v>15470531.859999999</v>
      </c>
    </row>
    <row r="20" spans="1:16" x14ac:dyDescent="0.25">
      <c r="A20" s="5" t="s">
        <v>9</v>
      </c>
      <c r="B20" s="24">
        <v>700000</v>
      </c>
      <c r="C20" s="24">
        <v>526000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f t="shared" si="1"/>
        <v>0</v>
      </c>
    </row>
    <row r="21" spans="1:16" x14ac:dyDescent="0.25">
      <c r="A21" s="5" t="s">
        <v>10</v>
      </c>
      <c r="B21" s="24">
        <v>4200000</v>
      </c>
      <c r="C21" s="24">
        <v>4200000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f t="shared" si="1"/>
        <v>0</v>
      </c>
    </row>
    <row r="22" spans="1:16" x14ac:dyDescent="0.25">
      <c r="A22" s="5" t="s">
        <v>11</v>
      </c>
      <c r="B22" s="24">
        <v>2720000</v>
      </c>
      <c r="C22" s="24">
        <v>2776000</v>
      </c>
      <c r="D22" s="24">
        <v>0</v>
      </c>
      <c r="E22" s="24">
        <v>0</v>
      </c>
      <c r="F22" s="24">
        <v>0</v>
      </c>
      <c r="G22" s="24">
        <v>0</v>
      </c>
      <c r="H22" s="24">
        <v>50000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f t="shared" si="1"/>
        <v>50000</v>
      </c>
    </row>
    <row r="23" spans="1:16" x14ac:dyDescent="0.25">
      <c r="A23" s="5" t="s">
        <v>12</v>
      </c>
      <c r="B23" s="24">
        <v>20595526</v>
      </c>
      <c r="C23" s="24">
        <v>21025251</v>
      </c>
      <c r="D23" s="24">
        <v>0</v>
      </c>
      <c r="E23" s="24">
        <v>323839.96999999997</v>
      </c>
      <c r="F23" s="24">
        <f>96190.65+55664.4</f>
        <v>151855.04999999999</v>
      </c>
      <c r="G23" s="24">
        <v>3163979.22</v>
      </c>
      <c r="H23" s="24">
        <f>1547525.65+97350+77408</f>
        <v>1722283.65</v>
      </c>
      <c r="I23" s="24">
        <f>1116376.22+97350</f>
        <v>1213726.22</v>
      </c>
      <c r="J23" s="24">
        <f>1584976.22+97350</f>
        <v>1682326.22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f t="shared" si="1"/>
        <v>8258010.3300000001</v>
      </c>
    </row>
    <row r="24" spans="1:16" x14ac:dyDescent="0.25">
      <c r="A24" s="5" t="s">
        <v>13</v>
      </c>
      <c r="B24" s="24">
        <v>13398400</v>
      </c>
      <c r="C24" s="24">
        <v>13289830</v>
      </c>
      <c r="D24" s="24">
        <v>1026242.64</v>
      </c>
      <c r="E24" s="24">
        <v>698548.14</v>
      </c>
      <c r="F24" s="24">
        <v>1325134.54</v>
      </c>
      <c r="G24" s="24">
        <v>1179873.56</v>
      </c>
      <c r="H24" s="24">
        <v>1319951.22</v>
      </c>
      <c r="I24" s="24">
        <f>266199.7+1059627.72</f>
        <v>1325827.42</v>
      </c>
      <c r="J24" s="24">
        <v>641188.48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f t="shared" si="1"/>
        <v>7516766</v>
      </c>
    </row>
    <row r="25" spans="1:16" ht="30" x14ac:dyDescent="0.25">
      <c r="A25" s="29" t="s">
        <v>14</v>
      </c>
      <c r="B25" s="24">
        <v>2156200</v>
      </c>
      <c r="C25" s="24">
        <v>4962700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f t="shared" si="1"/>
        <v>0</v>
      </c>
    </row>
    <row r="26" spans="1:16" x14ac:dyDescent="0.25">
      <c r="A26" s="5" t="s">
        <v>15</v>
      </c>
      <c r="B26" s="24">
        <v>25715580</v>
      </c>
      <c r="C26" s="24">
        <v>33291814</v>
      </c>
      <c r="D26" s="24">
        <v>0</v>
      </c>
      <c r="E26" s="24">
        <v>131643.53</v>
      </c>
      <c r="F26" s="24">
        <v>0</v>
      </c>
      <c r="G26" s="24">
        <v>0</v>
      </c>
      <c r="H26" s="24">
        <v>696200</v>
      </c>
      <c r="I26" s="24">
        <v>206100</v>
      </c>
      <c r="J26" s="24">
        <f>118935.88+53690+55696+124400</f>
        <v>352721.88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f t="shared" si="1"/>
        <v>1386665.4100000001</v>
      </c>
    </row>
    <row r="27" spans="1:16" x14ac:dyDescent="0.25">
      <c r="A27" s="5" t="s">
        <v>16</v>
      </c>
      <c r="B27" s="24">
        <v>2780000</v>
      </c>
      <c r="C27" s="24">
        <v>2680000</v>
      </c>
      <c r="D27" s="24">
        <v>0</v>
      </c>
      <c r="E27" s="24">
        <v>109091.53</v>
      </c>
      <c r="F27" s="24">
        <v>0</v>
      </c>
      <c r="G27" s="24">
        <v>0</v>
      </c>
      <c r="H27" s="24">
        <v>305679.68</v>
      </c>
      <c r="I27" s="24">
        <v>336604.66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f t="shared" si="1"/>
        <v>751375.86999999988</v>
      </c>
    </row>
    <row r="28" spans="1:16" x14ac:dyDescent="0.25">
      <c r="A28" s="3" t="s">
        <v>17</v>
      </c>
      <c r="B28" s="25">
        <f>B29+B30+B31+B32+B33+B34+B35+B37</f>
        <v>17410024</v>
      </c>
      <c r="C28" s="25">
        <f>C29+C30+C31+C32+C33+C34+C35+C37</f>
        <v>16044269</v>
      </c>
      <c r="D28" s="25">
        <f t="shared" ref="D28:P28" si="3">D29+D30+D31+D32+D33+D34+D35+D37</f>
        <v>716147</v>
      </c>
      <c r="E28" s="25">
        <f t="shared" si="3"/>
        <v>0</v>
      </c>
      <c r="F28" s="25">
        <f>F29+F30+F31+F32+F33+F34+F35+F37</f>
        <v>1482603.54</v>
      </c>
      <c r="G28" s="25">
        <f t="shared" si="3"/>
        <v>0</v>
      </c>
      <c r="H28" s="25">
        <f>H29+H30+H31+H32+H33+H34+H35+H37</f>
        <v>896335.05</v>
      </c>
      <c r="I28" s="25">
        <f>I29+I30+I31+I32+I33+I34+I35+I37</f>
        <v>448073.74</v>
      </c>
      <c r="J28" s="25">
        <f t="shared" si="3"/>
        <v>107462</v>
      </c>
      <c r="K28" s="25">
        <f t="shared" si="3"/>
        <v>0</v>
      </c>
      <c r="L28" s="25">
        <f t="shared" si="3"/>
        <v>0</v>
      </c>
      <c r="M28" s="25">
        <f t="shared" si="3"/>
        <v>0</v>
      </c>
      <c r="N28" s="25">
        <f t="shared" si="3"/>
        <v>0</v>
      </c>
      <c r="O28" s="25">
        <f t="shared" si="3"/>
        <v>0</v>
      </c>
      <c r="P28" s="25">
        <f t="shared" si="3"/>
        <v>3650621.33</v>
      </c>
    </row>
    <row r="29" spans="1:16" x14ac:dyDescent="0.25">
      <c r="A29" s="5" t="s">
        <v>18</v>
      </c>
      <c r="B29" s="24">
        <v>5385000</v>
      </c>
      <c r="C29" s="24">
        <v>873300</v>
      </c>
      <c r="D29" s="24">
        <v>0</v>
      </c>
      <c r="E29" s="24">
        <v>0</v>
      </c>
      <c r="F29" s="24">
        <v>6580</v>
      </c>
      <c r="G29" s="24">
        <v>0</v>
      </c>
      <c r="H29" s="24">
        <f>120076.78+12242.5</f>
        <v>132319.28</v>
      </c>
      <c r="I29" s="24">
        <v>185709.9</v>
      </c>
      <c r="J29" s="24">
        <v>7280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f t="shared" ref="P29:P36" si="4">SUM(D29:O29)</f>
        <v>331889.18</v>
      </c>
    </row>
    <row r="30" spans="1:16" x14ac:dyDescent="0.25">
      <c r="A30" s="5" t="s">
        <v>19</v>
      </c>
      <c r="B30" s="24">
        <v>308000</v>
      </c>
      <c r="C30" s="24">
        <v>471000</v>
      </c>
      <c r="D30" s="24">
        <v>0</v>
      </c>
      <c r="E30" s="24">
        <v>0</v>
      </c>
      <c r="F30" s="24">
        <v>0</v>
      </c>
      <c r="G30" s="24">
        <v>0</v>
      </c>
      <c r="H30" s="24">
        <v>4099.9799999999996</v>
      </c>
      <c r="I30" s="24">
        <v>103604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f t="shared" si="4"/>
        <v>107703.98</v>
      </c>
    </row>
    <row r="31" spans="1:16" x14ac:dyDescent="0.25">
      <c r="A31" s="5" t="s">
        <v>20</v>
      </c>
      <c r="B31" s="24">
        <v>675000</v>
      </c>
      <c r="C31" s="24">
        <v>677000</v>
      </c>
      <c r="D31" s="24">
        <v>0</v>
      </c>
      <c r="E31" s="24">
        <v>0</v>
      </c>
      <c r="F31" s="24">
        <v>0</v>
      </c>
      <c r="G31" s="24">
        <v>0</v>
      </c>
      <c r="H31" s="24">
        <f>5249.82+73899.86+33420.5</f>
        <v>112570.18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f t="shared" si="4"/>
        <v>112570.18</v>
      </c>
    </row>
    <row r="32" spans="1:16" x14ac:dyDescent="0.25">
      <c r="A32" s="5" t="s">
        <v>21</v>
      </c>
      <c r="B32" s="24">
        <v>50000</v>
      </c>
      <c r="C32" s="24">
        <v>50000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f t="shared" si="4"/>
        <v>0</v>
      </c>
    </row>
    <row r="33" spans="1:16" x14ac:dyDescent="0.25">
      <c r="A33" s="5" t="s">
        <v>22</v>
      </c>
      <c r="B33" s="24">
        <v>385000</v>
      </c>
      <c r="C33" s="24">
        <v>399800</v>
      </c>
      <c r="D33" s="24">
        <v>0</v>
      </c>
      <c r="E33" s="24">
        <v>0</v>
      </c>
      <c r="F33" s="24">
        <v>0</v>
      </c>
      <c r="G33" s="24">
        <v>0</v>
      </c>
      <c r="H33" s="24">
        <v>34135.040000000001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f t="shared" si="4"/>
        <v>34135.040000000001</v>
      </c>
    </row>
    <row r="34" spans="1:16" x14ac:dyDescent="0.25">
      <c r="A34" s="5" t="s">
        <v>23</v>
      </c>
      <c r="B34" s="24">
        <v>120000</v>
      </c>
      <c r="C34" s="24">
        <v>130500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f t="shared" si="4"/>
        <v>0</v>
      </c>
    </row>
    <row r="35" spans="1:16" x14ac:dyDescent="0.25">
      <c r="A35" s="5" t="s">
        <v>24</v>
      </c>
      <c r="B35" s="24">
        <v>7350000</v>
      </c>
      <c r="C35" s="24">
        <v>10503945</v>
      </c>
      <c r="D35" s="24">
        <v>716147</v>
      </c>
      <c r="E35" s="24">
        <v>0</v>
      </c>
      <c r="F35" s="24">
        <v>1421500</v>
      </c>
      <c r="G35" s="24">
        <v>0</v>
      </c>
      <c r="H35" s="24">
        <v>400000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f t="shared" si="4"/>
        <v>2537647</v>
      </c>
    </row>
    <row r="36" spans="1:16" x14ac:dyDescent="0.25">
      <c r="A36" s="5" t="s">
        <v>25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f t="shared" si="4"/>
        <v>0</v>
      </c>
    </row>
    <row r="37" spans="1:16" x14ac:dyDescent="0.25">
      <c r="A37" s="5" t="s">
        <v>26</v>
      </c>
      <c r="B37" s="24">
        <v>3137024</v>
      </c>
      <c r="C37" s="24">
        <v>2938724</v>
      </c>
      <c r="D37" s="24">
        <v>0</v>
      </c>
      <c r="E37" s="24">
        <v>0</v>
      </c>
      <c r="F37" s="24">
        <v>54523.54</v>
      </c>
      <c r="G37" s="24">
        <v>0</v>
      </c>
      <c r="H37" s="24">
        <f>48132.55+45174.73+59251.29+20650+40002</f>
        <v>213210.57</v>
      </c>
      <c r="I37" s="24">
        <v>158759.84</v>
      </c>
      <c r="J37" s="24">
        <f>28320+46020+25842</f>
        <v>100182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f>SUM(D37:O37)</f>
        <v>526675.94999999995</v>
      </c>
    </row>
    <row r="38" spans="1:16" x14ac:dyDescent="0.25">
      <c r="A38" s="3" t="s">
        <v>27</v>
      </c>
      <c r="B38" s="25">
        <f>B39</f>
        <v>0</v>
      </c>
      <c r="C38" s="25">
        <f>C39</f>
        <v>24000</v>
      </c>
      <c r="D38" s="25">
        <f t="shared" ref="D38:P38" si="5">D39</f>
        <v>0</v>
      </c>
      <c r="E38" s="25">
        <f t="shared" si="5"/>
        <v>0</v>
      </c>
      <c r="F38" s="25">
        <f t="shared" si="5"/>
        <v>24000</v>
      </c>
      <c r="G38" s="25">
        <f t="shared" si="5"/>
        <v>0</v>
      </c>
      <c r="H38" s="25">
        <f t="shared" si="5"/>
        <v>0</v>
      </c>
      <c r="I38" s="25">
        <f t="shared" si="5"/>
        <v>0</v>
      </c>
      <c r="J38" s="25">
        <f t="shared" si="5"/>
        <v>0</v>
      </c>
      <c r="K38" s="25">
        <f t="shared" si="5"/>
        <v>0</v>
      </c>
      <c r="L38" s="25">
        <f t="shared" si="5"/>
        <v>0</v>
      </c>
      <c r="M38" s="25">
        <f t="shared" si="5"/>
        <v>0</v>
      </c>
      <c r="N38" s="25">
        <f t="shared" si="5"/>
        <v>0</v>
      </c>
      <c r="O38" s="25">
        <f t="shared" si="5"/>
        <v>0</v>
      </c>
      <c r="P38" s="25">
        <f t="shared" si="5"/>
        <v>24000</v>
      </c>
    </row>
    <row r="39" spans="1:16" x14ac:dyDescent="0.25">
      <c r="A39" s="5" t="s">
        <v>28</v>
      </c>
      <c r="B39" s="24">
        <v>0</v>
      </c>
      <c r="C39" s="24">
        <v>24000</v>
      </c>
      <c r="D39" s="24">
        <v>0</v>
      </c>
      <c r="E39" s="24">
        <v>0</v>
      </c>
      <c r="F39" s="24">
        <v>24000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f>SUM(D39:O39)</f>
        <v>24000</v>
      </c>
    </row>
    <row r="40" spans="1:16" x14ac:dyDescent="0.25">
      <c r="A40" s="5" t="s">
        <v>29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1:16" x14ac:dyDescent="0.25">
      <c r="A41" s="5" t="s">
        <v>30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 x14ac:dyDescent="0.25">
      <c r="A42" s="5" t="s">
        <v>31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1:16" x14ac:dyDescent="0.25">
      <c r="A43" s="5" t="s">
        <v>32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</row>
    <row r="44" spans="1:16" x14ac:dyDescent="0.25">
      <c r="A44" s="5" t="s">
        <v>33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</row>
    <row r="45" spans="1:16" x14ac:dyDescent="0.25">
      <c r="A45" s="5" t="s">
        <v>34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</row>
    <row r="46" spans="1:16" x14ac:dyDescent="0.25">
      <c r="A46" s="5" t="s">
        <v>35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</row>
    <row r="47" spans="1:16" x14ac:dyDescent="0.25">
      <c r="A47" s="3" t="s">
        <v>36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 x14ac:dyDescent="0.25">
      <c r="A48" s="5" t="s">
        <v>37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</row>
    <row r="49" spans="1:16" x14ac:dyDescent="0.25">
      <c r="A49" s="5" t="s">
        <v>38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1:16" x14ac:dyDescent="0.25">
      <c r="A50" s="5" t="s">
        <v>39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1:16" x14ac:dyDescent="0.25">
      <c r="A51" s="5" t="s">
        <v>40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</row>
    <row r="52" spans="1:16" x14ac:dyDescent="0.25">
      <c r="A52" s="5" t="s">
        <v>41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</row>
    <row r="53" spans="1:16" x14ac:dyDescent="0.25">
      <c r="A53" s="5" t="s">
        <v>42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</row>
    <row r="54" spans="1:16" x14ac:dyDescent="0.25">
      <c r="A54" s="3" t="s">
        <v>43</v>
      </c>
      <c r="B54" s="25">
        <f>B55+B58+B59</f>
        <v>2065000</v>
      </c>
      <c r="C54" s="25">
        <f>C55+C58+C59+C56+C62</f>
        <v>4845000</v>
      </c>
      <c r="D54" s="25">
        <f>D55+D58+D59</f>
        <v>0</v>
      </c>
      <c r="E54" s="25">
        <f>E55+E58+E59</f>
        <v>0</v>
      </c>
      <c r="F54" s="25">
        <f>F55+F58+F59</f>
        <v>0</v>
      </c>
      <c r="G54" s="25">
        <f>G55+G58+G59</f>
        <v>0</v>
      </c>
      <c r="H54" s="25">
        <f>H55+H58+H59+H56</f>
        <v>100772</v>
      </c>
      <c r="I54" s="25">
        <f t="shared" ref="I54:N54" si="6">I55+I58+I59</f>
        <v>0</v>
      </c>
      <c r="J54" s="25">
        <f t="shared" si="6"/>
        <v>47189.38</v>
      </c>
      <c r="K54" s="25">
        <f t="shared" si="6"/>
        <v>0</v>
      </c>
      <c r="L54" s="25">
        <f t="shared" si="6"/>
        <v>0</v>
      </c>
      <c r="M54" s="25">
        <f t="shared" si="6"/>
        <v>0</v>
      </c>
      <c r="N54" s="25">
        <f t="shared" si="6"/>
        <v>0</v>
      </c>
      <c r="O54" s="25">
        <f>O55+O58+O59+O56</f>
        <v>0</v>
      </c>
      <c r="P54" s="25">
        <f>SUM(D54:O54)</f>
        <v>147961.38</v>
      </c>
    </row>
    <row r="55" spans="1:16" x14ac:dyDescent="0.25">
      <c r="A55" s="5" t="s">
        <v>44</v>
      </c>
      <c r="B55" s="24">
        <v>1965000</v>
      </c>
      <c r="C55" s="24">
        <v>1512000</v>
      </c>
      <c r="D55" s="24">
        <v>0</v>
      </c>
      <c r="E55" s="24">
        <v>0</v>
      </c>
      <c r="F55" s="24">
        <v>0</v>
      </c>
      <c r="G55" s="24">
        <v>0</v>
      </c>
      <c r="H55" s="24">
        <v>100772</v>
      </c>
      <c r="I55" s="24">
        <v>0</v>
      </c>
      <c r="J55" s="24">
        <v>47189.38</v>
      </c>
      <c r="K55" s="24">
        <v>0</v>
      </c>
      <c r="L55" s="24"/>
      <c r="M55" s="24"/>
      <c r="N55" s="24"/>
      <c r="O55" s="24"/>
      <c r="P55" s="24">
        <f>SUM(D55:O55)</f>
        <v>147961.38</v>
      </c>
    </row>
    <row r="56" spans="1:16" x14ac:dyDescent="0.25">
      <c r="A56" s="5" t="s">
        <v>45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f>SUM(D56:O56)</f>
        <v>0</v>
      </c>
    </row>
    <row r="57" spans="1:16" x14ac:dyDescent="0.25">
      <c r="A57" s="5" t="s">
        <v>46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f t="shared" ref="P57:P59" si="7">SUM(D57:O57)</f>
        <v>0</v>
      </c>
    </row>
    <row r="58" spans="1:16" x14ac:dyDescent="0.25">
      <c r="A58" s="5" t="s">
        <v>47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f t="shared" si="7"/>
        <v>0</v>
      </c>
    </row>
    <row r="59" spans="1:16" x14ac:dyDescent="0.25">
      <c r="A59" s="5" t="s">
        <v>48</v>
      </c>
      <c r="B59" s="24">
        <v>100000</v>
      </c>
      <c r="C59" s="24">
        <v>3103000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/>
      <c r="P59" s="24">
        <f t="shared" si="7"/>
        <v>0</v>
      </c>
    </row>
    <row r="60" spans="1:16" x14ac:dyDescent="0.25">
      <c r="A60" s="5" t="s">
        <v>49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</row>
    <row r="61" spans="1:16" x14ac:dyDescent="0.25">
      <c r="A61" s="5" t="s">
        <v>50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</row>
    <row r="62" spans="1:16" x14ac:dyDescent="0.25">
      <c r="A62" s="5" t="s">
        <v>51</v>
      </c>
      <c r="B62" s="24">
        <v>0</v>
      </c>
      <c r="C62" s="24">
        <v>230000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</row>
    <row r="63" spans="1:16" x14ac:dyDescent="0.25">
      <c r="A63" s="5" t="s">
        <v>52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</row>
    <row r="64" spans="1:16" x14ac:dyDescent="0.25">
      <c r="A64" s="3" t="s">
        <v>53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  <row r="65" spans="1:16" x14ac:dyDescent="0.25">
      <c r="A65" s="5" t="s">
        <v>54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</row>
    <row r="66" spans="1:16" x14ac:dyDescent="0.25">
      <c r="A66" s="5" t="s">
        <v>55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</row>
    <row r="67" spans="1:16" x14ac:dyDescent="0.25">
      <c r="A67" s="5" t="s">
        <v>56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</row>
    <row r="68" spans="1:16" x14ac:dyDescent="0.25">
      <c r="A68" s="5" t="s">
        <v>57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</row>
    <row r="69" spans="1:16" x14ac:dyDescent="0.25">
      <c r="A69" s="3" t="s">
        <v>58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</row>
    <row r="70" spans="1:16" x14ac:dyDescent="0.25">
      <c r="A70" s="5" t="s">
        <v>59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</row>
    <row r="71" spans="1:16" x14ac:dyDescent="0.25">
      <c r="A71" s="5" t="s">
        <v>60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</row>
    <row r="72" spans="1:16" x14ac:dyDescent="0.25">
      <c r="A72" s="3" t="s">
        <v>61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</row>
    <row r="73" spans="1:16" x14ac:dyDescent="0.25">
      <c r="A73" s="5" t="s">
        <v>62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</row>
    <row r="74" spans="1:16" x14ac:dyDescent="0.25">
      <c r="A74" s="5" t="s">
        <v>63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x14ac:dyDescent="0.25">
      <c r="A75" s="5" t="s">
        <v>64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</row>
    <row r="76" spans="1:16" x14ac:dyDescent="0.25">
      <c r="A76" s="1" t="s">
        <v>67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1:16" x14ac:dyDescent="0.25">
      <c r="A77" s="3" t="s">
        <v>68</v>
      </c>
      <c r="B77" s="25"/>
      <c r="C77" s="25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1:16" x14ac:dyDescent="0.25">
      <c r="A78" s="5" t="s">
        <v>69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</row>
    <row r="79" spans="1:16" x14ac:dyDescent="0.25">
      <c r="A79" s="5" t="s">
        <v>70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</row>
    <row r="80" spans="1:16" x14ac:dyDescent="0.25">
      <c r="A80" s="3" t="s">
        <v>71</v>
      </c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</row>
    <row r="81" spans="1:16" x14ac:dyDescent="0.25">
      <c r="A81" s="5" t="s">
        <v>72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</row>
    <row r="82" spans="1:16" x14ac:dyDescent="0.25">
      <c r="A82" s="5" t="s">
        <v>73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</row>
    <row r="83" spans="1:16" x14ac:dyDescent="0.25">
      <c r="A83" s="3" t="s">
        <v>74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</row>
    <row r="84" spans="1:16" x14ac:dyDescent="0.25">
      <c r="A84" s="5" t="s">
        <v>75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</row>
    <row r="85" spans="1:16" x14ac:dyDescent="0.25">
      <c r="A85" s="9" t="s">
        <v>65</v>
      </c>
      <c r="B85" s="28">
        <f>B54+B38+B28+B18+B12</f>
        <v>315213767</v>
      </c>
      <c r="C85" s="28">
        <f>C54+C38+C28+C18+C12</f>
        <v>335213767</v>
      </c>
      <c r="D85" s="28">
        <f t="shared" ref="D85:P85" si="8">D54+D38+D28+D18+D12</f>
        <v>18713727.129999999</v>
      </c>
      <c r="E85" s="28">
        <f t="shared" si="8"/>
        <v>17849471.489999998</v>
      </c>
      <c r="F85" s="28">
        <f>F54+F38+F28+F18+F12</f>
        <v>19563881.91</v>
      </c>
      <c r="G85" s="28">
        <f t="shared" si="8"/>
        <v>31799117.909999996</v>
      </c>
      <c r="H85" s="28">
        <f t="shared" si="8"/>
        <v>21915269.530000001</v>
      </c>
      <c r="I85" s="28">
        <f>I54+I38+I28+I18+I12</f>
        <v>20490201.379999999</v>
      </c>
      <c r="J85" s="28">
        <f t="shared" si="8"/>
        <v>19509637.980000004</v>
      </c>
      <c r="K85" s="28">
        <f t="shared" si="8"/>
        <v>0</v>
      </c>
      <c r="L85" s="28">
        <f t="shared" si="8"/>
        <v>0</v>
      </c>
      <c r="M85" s="28">
        <f t="shared" si="8"/>
        <v>0</v>
      </c>
      <c r="N85" s="28">
        <f t="shared" si="8"/>
        <v>0</v>
      </c>
      <c r="O85" s="28">
        <f t="shared" si="8"/>
        <v>0</v>
      </c>
      <c r="P85" s="28">
        <f t="shared" si="8"/>
        <v>149841307.32999998</v>
      </c>
    </row>
    <row r="91" spans="1:16" ht="13.5" customHeight="1" x14ac:dyDescent="0.3">
      <c r="A91" s="31"/>
      <c r="B91" s="30"/>
      <c r="C91" s="30"/>
      <c r="D91" s="30"/>
      <c r="E91" s="31"/>
      <c r="F91" s="32"/>
      <c r="H91" s="33"/>
      <c r="I91" s="30"/>
    </row>
    <row r="92" spans="1:16" ht="36" customHeight="1" x14ac:dyDescent="0.25"/>
    <row r="93" spans="1:16" ht="18.75" x14ac:dyDescent="0.3">
      <c r="A93" s="31"/>
      <c r="B93" s="31" t="s">
        <v>102</v>
      </c>
      <c r="C93" s="30"/>
      <c r="D93" s="30"/>
      <c r="E93" s="30"/>
      <c r="F93" s="31" t="s">
        <v>103</v>
      </c>
      <c r="H93" s="32"/>
      <c r="J93" s="33"/>
      <c r="K93" s="30"/>
    </row>
    <row r="94" spans="1:16" ht="18.75" x14ac:dyDescent="0.3">
      <c r="A94" s="34"/>
      <c r="B94" s="34" t="s">
        <v>104</v>
      </c>
      <c r="C94" s="32"/>
      <c r="D94" s="30"/>
      <c r="E94" s="30"/>
      <c r="F94" s="34" t="s">
        <v>104</v>
      </c>
      <c r="H94" s="34"/>
      <c r="I94" s="30"/>
      <c r="J94" s="30"/>
      <c r="K94" s="30"/>
    </row>
    <row r="95" spans="1:16" ht="18.75" x14ac:dyDescent="0.3">
      <c r="A95" s="32"/>
      <c r="B95" s="32" t="s">
        <v>105</v>
      </c>
      <c r="C95" s="32"/>
      <c r="D95" s="30"/>
      <c r="E95" s="30"/>
      <c r="F95" s="32" t="s">
        <v>106</v>
      </c>
      <c r="G95" s="47" t="s">
        <v>110</v>
      </c>
      <c r="H95" s="47"/>
      <c r="I95" s="47"/>
      <c r="J95" s="47"/>
      <c r="K95" s="30"/>
    </row>
    <row r="96" spans="1:16" s="8" customFormat="1" ht="18.75" x14ac:dyDescent="0.3">
      <c r="A96" s="38"/>
      <c r="B96" s="38" t="s">
        <v>107</v>
      </c>
      <c r="C96" s="38"/>
      <c r="D96" s="37"/>
      <c r="E96" s="37"/>
      <c r="F96" s="38" t="s">
        <v>111</v>
      </c>
      <c r="H96" s="38"/>
      <c r="I96" s="37"/>
      <c r="J96" s="37"/>
      <c r="K96" s="37"/>
    </row>
    <row r="97" spans="2:11" ht="18.75" x14ac:dyDescent="0.3">
      <c r="D97" s="30"/>
      <c r="E97" s="30"/>
      <c r="F97" s="30"/>
      <c r="H97" s="30"/>
      <c r="I97" s="30"/>
      <c r="J97" s="30"/>
      <c r="K97" s="30"/>
    </row>
    <row r="98" spans="2:11" ht="18.75" x14ac:dyDescent="0.25">
      <c r="B98" s="32"/>
    </row>
  </sheetData>
  <mergeCells count="10">
    <mergeCell ref="G95:J95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" right="0" top="0.19685039370078741" bottom="0.55118110236220474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0"/>
  <sheetViews>
    <sheetView showGridLines="0" tabSelected="1" zoomScaleNormal="100" workbookViewId="0">
      <selection activeCell="K87" sqref="K87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51" t="s">
        <v>98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 ht="21" customHeight="1" x14ac:dyDescent="0.25">
      <c r="A3" s="53" t="s">
        <v>101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5.75" x14ac:dyDescent="0.25">
      <c r="A4" s="45">
        <v>2023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5" ht="15.75" customHeight="1" x14ac:dyDescent="0.25">
      <c r="A5" s="40" t="s">
        <v>92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5" ht="15.75" customHeight="1" x14ac:dyDescent="0.25">
      <c r="A6" s="41" t="s">
        <v>77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14650701.149999999</v>
      </c>
      <c r="C10" s="25">
        <f t="shared" ref="C10:M10" si="0">C11+C12+C15</f>
        <v>14449534.359999999</v>
      </c>
      <c r="D10" s="25">
        <f>D11+D12+D15</f>
        <v>14278573.42</v>
      </c>
      <c r="E10" s="25">
        <f t="shared" si="0"/>
        <v>25352064.809999999</v>
      </c>
      <c r="F10" s="25">
        <f t="shared" si="0"/>
        <v>14652646.32</v>
      </c>
      <c r="G10" s="25">
        <f t="shared" si="0"/>
        <v>14760392.779999999</v>
      </c>
      <c r="H10" s="25">
        <f t="shared" si="0"/>
        <v>14441462.310000001</v>
      </c>
      <c r="I10" s="25">
        <f>I11+I12+I15</f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112585375.15000001</v>
      </c>
    </row>
    <row r="11" spans="1:15" ht="17.25" customHeight="1" x14ac:dyDescent="0.25">
      <c r="A11" s="5" t="s">
        <v>2</v>
      </c>
      <c r="B11" s="24">
        <v>12594186.699999999</v>
      </c>
      <c r="C11" s="24">
        <v>12361912.92</v>
      </c>
      <c r="D11" s="24">
        <v>12195008.83</v>
      </c>
      <c r="E11" s="24">
        <v>23219626.129999999</v>
      </c>
      <c r="F11" s="24">
        <v>12450963.42</v>
      </c>
      <c r="G11" s="24">
        <v>12589618.85</v>
      </c>
      <c r="H11" s="24">
        <v>12267263.42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97678580.269999996</v>
      </c>
    </row>
    <row r="12" spans="1:15" ht="17.25" customHeight="1" x14ac:dyDescent="0.25">
      <c r="A12" s="5" t="s">
        <v>3</v>
      </c>
      <c r="B12" s="24">
        <v>333500</v>
      </c>
      <c r="C12" s="24">
        <v>326500</v>
      </c>
      <c r="D12" s="24">
        <v>333500</v>
      </c>
      <c r="E12" s="24">
        <v>333500</v>
      </c>
      <c r="F12" s="24">
        <v>333500</v>
      </c>
      <c r="G12" s="24">
        <v>333500</v>
      </c>
      <c r="H12" s="24">
        <v>333500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2327500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1723014.45</v>
      </c>
      <c r="C15" s="24">
        <v>1761121.44</v>
      </c>
      <c r="D15" s="24">
        <v>1750064.59</v>
      </c>
      <c r="E15" s="24">
        <v>1798938.68</v>
      </c>
      <c r="F15" s="24">
        <v>1868182.9</v>
      </c>
      <c r="G15" s="24">
        <v>1837273.93</v>
      </c>
      <c r="H15" s="24">
        <v>1840698.89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12579294.879999999</v>
      </c>
    </row>
    <row r="16" spans="1:15" ht="17.25" customHeight="1" x14ac:dyDescent="0.25">
      <c r="A16" s="3" t="s">
        <v>7</v>
      </c>
      <c r="B16" s="25">
        <f>B17+B18+B19+B20+B21+B22+B23+B24</f>
        <v>3346878.98</v>
      </c>
      <c r="C16" s="25">
        <f>C17+C18+C19+C20+C21+C22+C23+C24+C25</f>
        <v>3399937.1299999994</v>
      </c>
      <c r="D16" s="25">
        <f>D17+D18+D19+D20+D21+D22+D23+D24</f>
        <v>3778704.9499999997</v>
      </c>
      <c r="E16" s="25">
        <f>E17+E18+E19+E20+E21+E22+E23+E24</f>
        <v>6447053.0999999996</v>
      </c>
      <c r="F16" s="25">
        <f>F17+F18+F19+F20+F21+F22+F23+F24+F25</f>
        <v>6265516.1599999992</v>
      </c>
      <c r="G16" s="25">
        <f>G17+G18+G19+G20+G21+G22+G23+G24+G25</f>
        <v>5281734.8600000003</v>
      </c>
      <c r="H16" s="25">
        <f>H17+H18+H19+H20+H21+H22+H23+H24+H25</f>
        <v>4913524.29</v>
      </c>
      <c r="I16" s="25">
        <f>I17+I18+I19+I20+I21+I22+I23+I24+I25</f>
        <v>0</v>
      </c>
      <c r="J16" s="25">
        <f t="shared" ref="J16:K16" si="1">J17+J18+J19+J20+J21+J22+J23+J24</f>
        <v>0</v>
      </c>
      <c r="K16" s="25">
        <f t="shared" si="1"/>
        <v>0</v>
      </c>
      <c r="L16" s="25">
        <f>L17+L18+L19+L20+L21+L22+L23+L24</f>
        <v>0</v>
      </c>
      <c r="M16" s="25">
        <f>M17+M18+M19+M20+M21+M22+M23+M24+M25</f>
        <v>0</v>
      </c>
      <c r="N16" s="25">
        <f>N17+N18+N19+N20+N21+N22+N23+N24+N25</f>
        <v>33433349.469999999</v>
      </c>
    </row>
    <row r="17" spans="1:14" ht="17.25" customHeight="1" x14ac:dyDescent="0.25">
      <c r="A17" s="5" t="s">
        <v>8</v>
      </c>
      <c r="B17" s="24">
        <v>2320636.34</v>
      </c>
      <c r="C17" s="24">
        <v>2136813.96</v>
      </c>
      <c r="D17" s="24">
        <v>2301715.36</v>
      </c>
      <c r="E17" s="24">
        <v>2103200.3199999998</v>
      </c>
      <c r="F17" s="24">
        <v>2171401.61</v>
      </c>
      <c r="G17" s="24">
        <v>2199476.56</v>
      </c>
      <c r="H17" s="24">
        <v>2237287.71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15470531.859999999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2">SUM(B18:M18)</f>
        <v>0</v>
      </c>
    </row>
    <row r="19" spans="1:14" ht="17.25" customHeight="1" x14ac:dyDescent="0.25">
      <c r="A19" s="5" t="s">
        <v>10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2"/>
        <v>0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50000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2"/>
        <v>50000</v>
      </c>
    </row>
    <row r="21" spans="1:14" ht="17.25" customHeight="1" x14ac:dyDescent="0.25">
      <c r="A21" s="5" t="s">
        <v>12</v>
      </c>
      <c r="B21" s="24">
        <v>0</v>
      </c>
      <c r="C21" s="24">
        <v>323839.96999999997</v>
      </c>
      <c r="D21" s="24">
        <v>151855.04999999999</v>
      </c>
      <c r="E21" s="24">
        <v>3163979.22</v>
      </c>
      <c r="F21" s="24">
        <v>1722283.65</v>
      </c>
      <c r="G21" s="24">
        <v>1213726.22</v>
      </c>
      <c r="H21" s="24">
        <v>1682326.22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2"/>
        <v>8258010.3300000001</v>
      </c>
    </row>
    <row r="22" spans="1:14" ht="17.25" customHeight="1" x14ac:dyDescent="0.25">
      <c r="A22" s="5" t="s">
        <v>13</v>
      </c>
      <c r="B22" s="24">
        <v>1026242.64</v>
      </c>
      <c r="C22" s="24">
        <v>698548.14</v>
      </c>
      <c r="D22" s="24">
        <v>1325134.54</v>
      </c>
      <c r="E22" s="24">
        <f>530123.12+649750.44</f>
        <v>1179873.56</v>
      </c>
      <c r="F22" s="24">
        <v>1319951.22</v>
      </c>
      <c r="G22" s="24">
        <v>1325827.42</v>
      </c>
      <c r="H22" s="24">
        <v>641188.48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f t="shared" si="2"/>
        <v>7516766</v>
      </c>
    </row>
    <row r="23" spans="1:14" ht="27" customHeight="1" x14ac:dyDescent="0.25">
      <c r="A23" s="29" t="s">
        <v>14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f t="shared" si="2"/>
        <v>0</v>
      </c>
    </row>
    <row r="24" spans="1:14" ht="17.25" customHeight="1" x14ac:dyDescent="0.25">
      <c r="A24" s="5" t="s">
        <v>15</v>
      </c>
      <c r="B24" s="24">
        <v>0</v>
      </c>
      <c r="C24" s="24">
        <v>131643.53</v>
      </c>
      <c r="D24" s="24">
        <v>0</v>
      </c>
      <c r="E24" s="24">
        <v>0</v>
      </c>
      <c r="F24" s="24">
        <v>696200</v>
      </c>
      <c r="G24" s="24">
        <v>206100</v>
      </c>
      <c r="H24" s="24">
        <v>352721.88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1386665.4100000001</v>
      </c>
    </row>
    <row r="25" spans="1:14" ht="17.25" customHeight="1" x14ac:dyDescent="0.25">
      <c r="A25" s="5" t="s">
        <v>16</v>
      </c>
      <c r="B25" s="24">
        <v>0</v>
      </c>
      <c r="C25" s="24">
        <v>109091.53</v>
      </c>
      <c r="D25" s="24">
        <v>0</v>
      </c>
      <c r="E25" s="24">
        <v>0</v>
      </c>
      <c r="F25" s="24">
        <v>305679.68</v>
      </c>
      <c r="G25" s="24">
        <v>336604.66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751375.86999999988</v>
      </c>
    </row>
    <row r="26" spans="1:14" ht="17.25" customHeight="1" x14ac:dyDescent="0.25">
      <c r="A26" s="3" t="s">
        <v>17</v>
      </c>
      <c r="B26" s="25">
        <f>B27+B28+B29+B30+B31+B32+B33</f>
        <v>716147</v>
      </c>
      <c r="C26" s="25">
        <f>C27+C28+C29+C30+C31+C32+C33</f>
        <v>0</v>
      </c>
      <c r="D26" s="25">
        <f>D27+D28+D29+D30+D31+D32+D33+D35</f>
        <v>1482603.54</v>
      </c>
      <c r="E26" s="25">
        <f>E27+E28+E29+E30+E31+E32+E35</f>
        <v>0</v>
      </c>
      <c r="F26" s="25">
        <f>F27+F28+F29+F30+F31+F32+F33+F35</f>
        <v>896335.05</v>
      </c>
      <c r="G26" s="25">
        <f>G27+G28+G29+G30+G31+G32+G35</f>
        <v>448073.74</v>
      </c>
      <c r="H26" s="25">
        <f>H27+H28+H29+H30+H31+H32+H33+H35</f>
        <v>107462</v>
      </c>
      <c r="I26" s="25">
        <f>I27+I28+I29+I30+I31+I32+I33+I35</f>
        <v>0</v>
      </c>
      <c r="J26" s="25">
        <f>J27+J28+J29+J30+J31+J32</f>
        <v>0</v>
      </c>
      <c r="K26" s="25">
        <f>K27+K28+K29+K30+K31+K32+K33+K35</f>
        <v>0</v>
      </c>
      <c r="L26" s="25">
        <f>L27+L28+L29+L30+L31+L32+L33+L35</f>
        <v>0</v>
      </c>
      <c r="M26" s="25">
        <f>M27+M28+M29+M30+M31+M32+M33+M35</f>
        <v>0</v>
      </c>
      <c r="N26" s="25">
        <f>N27+N28+N29+N30+N31+N32+N33+N35</f>
        <v>3650621.33</v>
      </c>
    </row>
    <row r="27" spans="1:14" ht="17.25" customHeight="1" x14ac:dyDescent="0.25">
      <c r="A27" s="5" t="s">
        <v>18</v>
      </c>
      <c r="B27" s="24">
        <v>0</v>
      </c>
      <c r="C27" s="24">
        <v>0</v>
      </c>
      <c r="D27" s="24">
        <v>6580</v>
      </c>
      <c r="E27" s="24">
        <v>0</v>
      </c>
      <c r="F27" s="24">
        <v>132319.28</v>
      </c>
      <c r="G27" s="24">
        <v>185709.9</v>
      </c>
      <c r="H27" s="24">
        <v>7280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7" si="3">SUM(B27:M27)</f>
        <v>331889.18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4099.9799999999996</v>
      </c>
      <c r="G28" s="24">
        <v>103604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3"/>
        <v>107703.98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0</v>
      </c>
      <c r="F29" s="24">
        <v>112570.18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3"/>
        <v>112570.18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3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34135.040000000001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3"/>
        <v>34135.040000000001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3"/>
        <v>0</v>
      </c>
    </row>
    <row r="33" spans="1:14" ht="17.25" customHeight="1" x14ac:dyDescent="0.25">
      <c r="A33" s="5" t="s">
        <v>24</v>
      </c>
      <c r="B33" s="24">
        <v>716147</v>
      </c>
      <c r="C33" s="24">
        <v>0</v>
      </c>
      <c r="D33" s="24">
        <v>1421500</v>
      </c>
      <c r="E33" s="24">
        <v>0</v>
      </c>
      <c r="F33" s="24">
        <v>400000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3"/>
        <v>2537647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v>54523.54</v>
      </c>
      <c r="E35" s="24">
        <v>0</v>
      </c>
      <c r="F35" s="24">
        <f>173208.57+40002</f>
        <v>213210.57</v>
      </c>
      <c r="G35" s="24">
        <v>158759.84</v>
      </c>
      <c r="H35" s="24">
        <v>100182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3"/>
        <v>526675.94999999995</v>
      </c>
    </row>
    <row r="36" spans="1:14" ht="17.25" customHeight="1" x14ac:dyDescent="0.25">
      <c r="A36" s="3" t="s">
        <v>27</v>
      </c>
      <c r="B36" s="25">
        <f t="shared" ref="B36:N36" si="4">B37+B38+B39+B40+B41+B42</f>
        <v>0</v>
      </c>
      <c r="C36" s="25">
        <f t="shared" si="4"/>
        <v>0</v>
      </c>
      <c r="D36" s="25">
        <f t="shared" si="4"/>
        <v>24000</v>
      </c>
      <c r="E36" s="25">
        <f t="shared" si="4"/>
        <v>0</v>
      </c>
      <c r="F36" s="25">
        <f t="shared" si="4"/>
        <v>0</v>
      </c>
      <c r="G36" s="25">
        <f t="shared" si="4"/>
        <v>0</v>
      </c>
      <c r="H36" s="25">
        <f t="shared" si="4"/>
        <v>0</v>
      </c>
      <c r="I36" s="25">
        <f t="shared" si="4"/>
        <v>0</v>
      </c>
      <c r="J36" s="25">
        <f t="shared" si="4"/>
        <v>0</v>
      </c>
      <c r="K36" s="25">
        <f t="shared" si="4"/>
        <v>0</v>
      </c>
      <c r="L36" s="25">
        <f t="shared" si="4"/>
        <v>0</v>
      </c>
      <c r="M36" s="25">
        <f t="shared" si="4"/>
        <v>0</v>
      </c>
      <c r="N36" s="25">
        <f t="shared" si="4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3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5">B46</f>
        <v>0</v>
      </c>
      <c r="C45" s="25">
        <f t="shared" si="5"/>
        <v>0</v>
      </c>
      <c r="D45" s="25">
        <f t="shared" si="5"/>
        <v>0</v>
      </c>
      <c r="E45" s="25">
        <f t="shared" si="5"/>
        <v>0</v>
      </c>
      <c r="F45" s="25">
        <f t="shared" si="5"/>
        <v>0</v>
      </c>
      <c r="G45" s="25">
        <f t="shared" si="5"/>
        <v>0</v>
      </c>
      <c r="H45" s="25">
        <f t="shared" si="5"/>
        <v>0</v>
      </c>
      <c r="I45" s="25">
        <f t="shared" si="5"/>
        <v>0</v>
      </c>
      <c r="J45" s="25">
        <f t="shared" si="5"/>
        <v>0</v>
      </c>
      <c r="K45" s="25">
        <f t="shared" si="5"/>
        <v>0</v>
      </c>
      <c r="L45" s="25">
        <f t="shared" si="5"/>
        <v>0</v>
      </c>
      <c r="M45" s="25">
        <f t="shared" si="5"/>
        <v>0</v>
      </c>
      <c r="N45" s="25">
        <f t="shared" si="5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F54+F53</f>
        <v>100772</v>
      </c>
      <c r="G52" s="25">
        <f>G54</f>
        <v>0</v>
      </c>
      <c r="H52" s="25">
        <f>H53+H57</f>
        <v>47189.38</v>
      </c>
      <c r="I52" s="25">
        <f>I53</f>
        <v>0</v>
      </c>
      <c r="J52" s="25">
        <f>J53</f>
        <v>0</v>
      </c>
      <c r="K52" s="25">
        <f>K53</f>
        <v>0</v>
      </c>
      <c r="L52" s="25">
        <f>L53</f>
        <v>0</v>
      </c>
      <c r="M52" s="25">
        <f>M53+M54+M57</f>
        <v>0</v>
      </c>
      <c r="N52" s="25">
        <f>SUM(B52:M52)</f>
        <v>147961.38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100772</v>
      </c>
      <c r="G53" s="24">
        <v>0</v>
      </c>
      <c r="H53" s="24">
        <v>47189.38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>SUM(B53:M53)</f>
        <v>147961.38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>SUM(B54:M54)</f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>SUM(B57:M57)</f>
        <v>0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</row>
    <row r="62" spans="1:14" ht="17.25" customHeight="1" x14ac:dyDescent="0.25">
      <c r="A62" s="3" t="s">
        <v>53</v>
      </c>
      <c r="B62" s="25">
        <f t="shared" ref="B62:N62" si="6">B63</f>
        <v>0</v>
      </c>
      <c r="C62" s="25">
        <f t="shared" si="6"/>
        <v>0</v>
      </c>
      <c r="D62" s="25">
        <f t="shared" si="6"/>
        <v>0</v>
      </c>
      <c r="E62" s="25">
        <f t="shared" si="6"/>
        <v>0</v>
      </c>
      <c r="F62" s="25">
        <f t="shared" si="6"/>
        <v>0</v>
      </c>
      <c r="G62" s="25">
        <f t="shared" si="6"/>
        <v>0</v>
      </c>
      <c r="H62" s="25">
        <f t="shared" si="6"/>
        <v>0</v>
      </c>
      <c r="I62" s="25">
        <f t="shared" si="6"/>
        <v>0</v>
      </c>
      <c r="J62" s="25">
        <f t="shared" si="6"/>
        <v>0</v>
      </c>
      <c r="K62" s="25">
        <f t="shared" si="6"/>
        <v>0</v>
      </c>
      <c r="L62" s="25">
        <f t="shared" si="6"/>
        <v>0</v>
      </c>
      <c r="M62" s="25">
        <f t="shared" si="6"/>
        <v>0</v>
      </c>
      <c r="N62" s="25">
        <f t="shared" si="6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18713727.129999999</v>
      </c>
      <c r="C83" s="26">
        <f>C52+C16+C10+C26</f>
        <v>17849471.489999998</v>
      </c>
      <c r="D83" s="26">
        <f>D52+D16+D10+D26+D36</f>
        <v>19563881.91</v>
      </c>
      <c r="E83" s="26">
        <f>E52+E16+E10+E26</f>
        <v>31799117.909999996</v>
      </c>
      <c r="F83" s="26">
        <f>F52+F16+F10+F26</f>
        <v>21915269.530000001</v>
      </c>
      <c r="G83" s="26">
        <f>G52+G16+G10+G26</f>
        <v>20490201.379999999</v>
      </c>
      <c r="H83" s="26">
        <f>H52+H16+H10+H26</f>
        <v>19509637.98</v>
      </c>
      <c r="I83" s="26">
        <f>I52+I26+I16+I10</f>
        <v>0</v>
      </c>
      <c r="J83" s="26">
        <f>J52+J16+J10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N52+N26+N16+N10+N36</f>
        <v>149841307.33000001</v>
      </c>
    </row>
    <row r="85" spans="1:14" ht="18.75" x14ac:dyDescent="0.3">
      <c r="A85" s="31" t="s">
        <v>102</v>
      </c>
      <c r="B85" s="30"/>
      <c r="C85" s="30"/>
      <c r="D85" s="30"/>
      <c r="E85" s="31" t="s">
        <v>103</v>
      </c>
      <c r="G85" s="32"/>
      <c r="I85" s="33"/>
      <c r="J85" s="30"/>
    </row>
    <row r="86" spans="1:14" ht="47.25" customHeight="1" x14ac:dyDescent="0.3">
      <c r="A86" s="34" t="s">
        <v>104</v>
      </c>
      <c r="B86" s="32"/>
      <c r="C86" s="30"/>
      <c r="D86" s="30"/>
      <c r="E86" s="34" t="s">
        <v>104</v>
      </c>
      <c r="G86" s="34"/>
      <c r="H86" s="30"/>
      <c r="I86" s="30"/>
      <c r="J86" s="30"/>
    </row>
    <row r="87" spans="1:14" ht="18.75" x14ac:dyDescent="0.3">
      <c r="A87" s="32" t="s">
        <v>105</v>
      </c>
      <c r="B87" s="32"/>
      <c r="C87" s="30"/>
      <c r="D87" s="30"/>
      <c r="E87" s="32" t="s">
        <v>108</v>
      </c>
      <c r="F87" s="36"/>
      <c r="G87" s="36"/>
      <c r="H87" s="36"/>
      <c r="I87" s="36"/>
      <c r="J87" s="30"/>
    </row>
    <row r="88" spans="1:14" ht="18.75" x14ac:dyDescent="0.3">
      <c r="A88" s="32" t="s">
        <v>107</v>
      </c>
      <c r="B88" s="32"/>
      <c r="C88" s="30"/>
      <c r="D88" s="30"/>
      <c r="E88" s="32" t="s">
        <v>109</v>
      </c>
      <c r="G88" s="32"/>
      <c r="H88" s="30"/>
      <c r="I88" s="30"/>
      <c r="J88" s="30"/>
    </row>
    <row r="89" spans="1:14" ht="18.75" x14ac:dyDescent="0.3">
      <c r="C89" s="30"/>
      <c r="D89" s="30"/>
      <c r="E89" s="30"/>
      <c r="G89" s="30"/>
      <c r="H89" s="30"/>
      <c r="I89" s="30"/>
      <c r="J89" s="30"/>
    </row>
    <row r="90" spans="1:14" ht="18.75" x14ac:dyDescent="0.25">
      <c r="A90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317C8A32A3645BA01F9E5F2F7DBA4" ma:contentTypeVersion="8" ma:contentTypeDescription="Crear nuevo documento." ma:contentTypeScope="" ma:versionID="a757ac606fe47cad9e9a6198089ede83">
  <xsd:schema xmlns:xsd="http://www.w3.org/2001/XMLSchema" xmlns:xs="http://www.w3.org/2001/XMLSchema" xmlns:p="http://schemas.microsoft.com/office/2006/metadata/properties" xmlns:ns3="d5c4e3f9-af64-4719-90be-160b640e81fa" xmlns:ns4="da7de7a0-710e-4fef-a6cd-19f38e5ab606" targetNamespace="http://schemas.microsoft.com/office/2006/metadata/properties" ma:root="true" ma:fieldsID="c70cadd585872574579c45098b0cd07a" ns3:_="" ns4:_="">
    <xsd:import namespace="d5c4e3f9-af64-4719-90be-160b640e81fa"/>
    <xsd:import namespace="da7de7a0-710e-4fef-a6cd-19f38e5ab6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4e3f9-af64-4719-90be-160b640e8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de7a0-710e-4fef-a6cd-19f38e5ab60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4E4912-1A84-45A6-A7F2-5248B301D270}">
  <ds:schemaRefs>
    <ds:schemaRef ds:uri="http://purl.org/dc/elements/1.1/"/>
    <ds:schemaRef ds:uri="http://schemas.microsoft.com/office/2006/metadata/properties"/>
    <ds:schemaRef ds:uri="da7de7a0-710e-4fef-a6cd-19f38e5ab606"/>
    <ds:schemaRef ds:uri="d5c4e3f9-af64-4719-90be-160b640e81fa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221959-4743-48D2-B3DA-2F3FE83F1B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c4e3f9-af64-4719-90be-160b640e81fa"/>
    <ds:schemaRef ds:uri="da7de7a0-710e-4fef-a6cd-19f38e5ab6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8ABC2-FC5E-4351-94AB-4D68BB9F48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Alba Lisber Aquino Díaz</cp:lastModifiedBy>
  <cp:lastPrinted>2023-08-03T13:30:56Z</cp:lastPrinted>
  <dcterms:created xsi:type="dcterms:W3CDTF">2021-07-29T18:58:50Z</dcterms:created>
  <dcterms:modified xsi:type="dcterms:W3CDTF">2023-08-04T15:43:41Z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0x010100C07317C8A32A3645BA01F9E5F2F7DBA4</vt:lpwstr>
  </property>
</Properties>
</file>