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Hamlet Duran - Planificación\Coordinación de Seguimiento\POA\2023\"/>
    </mc:Choice>
  </mc:AlternateContent>
  <xr:revisionPtr revIDLastSave="0" documentId="13_ncr:1_{6E129C3C-FA88-4786-89BD-FCCBC68893C7}" xr6:coauthVersionLast="47" xr6:coauthVersionMax="47" xr10:uidLastSave="{00000000-0000-0000-0000-000000000000}"/>
  <bookViews>
    <workbookView xWindow="630" yWindow="0" windowWidth="28170" windowHeight="15600" tabRatio="743" activeTab="2" xr2:uid="{0A6AC2B3-DF8F-4895-9FBB-163F5BED1D15}"/>
  </bookViews>
  <sheets>
    <sheet name="Introducción" sheetId="25" r:id="rId1"/>
    <sheet name="Marco Estratégico" sheetId="26" r:id="rId2"/>
    <sheet name="1- Eje 1 Análisis" sheetId="1" r:id="rId3"/>
    <sheet name="1- Eje 3 Análisis" sheetId="2" r:id="rId4"/>
    <sheet name="1- Presupuesto Análisis" sheetId="3" r:id="rId5"/>
    <sheet name="2- Operaciones" sheetId="4" r:id="rId6"/>
    <sheet name="2- Presupuesto Operaciones" sheetId="5" r:id="rId7"/>
    <sheet name="Cierre Punto Soli." sheetId="24" r:id="rId8"/>
    <sheet name="3- Calidad del Dato" sheetId="6" r:id="rId9"/>
    <sheet name="3- Presupuesto Calidad del Dato" sheetId="7" r:id="rId10"/>
    <sheet name="4- Cartografía" sheetId="8" r:id="rId11"/>
    <sheet name="4- Presupuesto Cartografía" sheetId="9" r:id="rId12"/>
    <sheet name="5- Adm. y Fin." sheetId="10" r:id="rId13"/>
    <sheet name="5- Presupuesto Adm. y Fin." sheetId="11" r:id="rId14"/>
    <sheet name="6- Comunicaciones" sheetId="12" r:id="rId15"/>
    <sheet name="6- Presupuesto Comunicaciones" sheetId="13" r:id="rId16"/>
    <sheet name="7- SGI" sheetId="14" r:id="rId17"/>
    <sheet name="7- Presupuesto SGI" sheetId="15" r:id="rId18"/>
    <sheet name="8- RRHH" sheetId="16" r:id="rId19"/>
    <sheet name="8- Presupuesto RRHH" sheetId="17" r:id="rId20"/>
    <sheet name="8- Proyecciones RRHH" sheetId="18" r:id="rId21"/>
    <sheet name="9- Tecnología" sheetId="19" r:id="rId22"/>
    <sheet name="9- Presupueto TIC" sheetId="20" r:id="rId23"/>
    <sheet name="9- Adquisiciones TIC" sheetId="21" r:id="rId24"/>
    <sheet name="10- PyD" sheetId="22" r:id="rId25"/>
    <sheet name="10- Presupuesto PyD" sheetId="23" r:id="rId26"/>
    <sheet name="Presupuesto por Objeto de Gasto" sheetId="27" r:id="rId27"/>
    <sheet name="Presupuesto por Programatica" sheetId="28" r:id="rId28"/>
    <sheet name="Presupuesto D. por Cuenta" sheetId="31" r:id="rId29"/>
    <sheet name="P. por Fuente de Financiamiento" sheetId="32" r:id="rId30"/>
  </sheets>
  <externalReferences>
    <externalReference r:id="rId31"/>
    <externalReference r:id="rId32"/>
    <externalReference r:id="rId33"/>
    <externalReference r:id="rId34"/>
    <externalReference r:id="rId35"/>
    <externalReference r:id="rId3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3" l="1"/>
  <c r="Q34" i="3"/>
  <c r="O34" i="3"/>
  <c r="M33" i="3"/>
  <c r="L33" i="3"/>
  <c r="J33" i="3"/>
  <c r="I33" i="3"/>
  <c r="T33" i="3" s="1"/>
  <c r="G32" i="3"/>
  <c r="P32" i="3" s="1"/>
  <c r="G31" i="3"/>
  <c r="J31" i="3" s="1"/>
  <c r="T31" i="3" s="1"/>
  <c r="T30" i="3"/>
  <c r="T29" i="3"/>
  <c r="T28" i="3"/>
  <c r="T27" i="3"/>
  <c r="T26" i="3"/>
  <c r="T25" i="3"/>
  <c r="T24" i="3"/>
  <c r="T23" i="3"/>
  <c r="T22" i="3"/>
  <c r="G21" i="3"/>
  <c r="M21" i="3" s="1"/>
  <c r="T21" i="3" s="1"/>
  <c r="N20" i="3"/>
  <c r="N34" i="3" s="1"/>
  <c r="G20" i="3"/>
  <c r="M19" i="3"/>
  <c r="L19" i="3"/>
  <c r="K19" i="3"/>
  <c r="J19" i="3"/>
  <c r="I19" i="3"/>
  <c r="H19" i="3"/>
  <c r="T19" i="3" s="1"/>
  <c r="M18" i="3"/>
  <c r="M34" i="3" s="1"/>
  <c r="L18" i="3"/>
  <c r="L34" i="3" s="1"/>
  <c r="K18" i="3"/>
  <c r="K34" i="3" s="1"/>
  <c r="J18" i="3"/>
  <c r="J34" i="3" s="1"/>
  <c r="I18" i="3"/>
  <c r="I34" i="3" s="1"/>
  <c r="H18" i="3"/>
  <c r="H34" i="3" s="1"/>
  <c r="T17" i="3"/>
  <c r="T32" i="3" l="1"/>
  <c r="P34" i="3"/>
  <c r="T18" i="3"/>
  <c r="T34" i="3" s="1"/>
  <c r="T20" i="3"/>
  <c r="S15" i="16" l="1"/>
  <c r="S18" i="16"/>
  <c r="S51" i="16" s="1"/>
  <c r="S27" i="16"/>
  <c r="S30" i="16"/>
  <c r="S33" i="16"/>
  <c r="F13" i="32"/>
  <c r="F15" i="32" s="1"/>
  <c r="E13" i="32"/>
  <c r="E15" i="32" s="1"/>
  <c r="D13" i="32"/>
  <c r="B13" i="32"/>
  <c r="R37" i="23"/>
  <c r="M37" i="23"/>
  <c r="L37" i="23"/>
  <c r="J37" i="23"/>
  <c r="I37" i="23"/>
  <c r="S36" i="23"/>
  <c r="S37" i="23"/>
  <c r="R36" i="23"/>
  <c r="Q36" i="23"/>
  <c r="Q37" i="23"/>
  <c r="P36" i="23"/>
  <c r="P37" i="23"/>
  <c r="O36" i="23"/>
  <c r="N36" i="23"/>
  <c r="U36" i="23"/>
  <c r="M36" i="23"/>
  <c r="L36" i="23"/>
  <c r="K36" i="23"/>
  <c r="J36" i="23"/>
  <c r="S35" i="23"/>
  <c r="N35" i="23"/>
  <c r="N37" i="23"/>
  <c r="K35" i="23"/>
  <c r="U35" i="23"/>
  <c r="K34" i="23"/>
  <c r="U34" i="23"/>
  <c r="K33" i="23"/>
  <c r="U33" i="23"/>
  <c r="U32" i="23"/>
  <c r="K32" i="23"/>
  <c r="K31" i="23"/>
  <c r="U31" i="23"/>
  <c r="U30" i="23"/>
  <c r="Q30" i="23"/>
  <c r="Q29" i="23"/>
  <c r="U29" i="23"/>
  <c r="O28" i="23"/>
  <c r="U28" i="23"/>
  <c r="O27" i="23"/>
  <c r="U27" i="23"/>
  <c r="T26" i="23"/>
  <c r="U26" i="23"/>
  <c r="T25" i="23"/>
  <c r="T37" i="23"/>
  <c r="U24" i="23"/>
  <c r="U23" i="23"/>
  <c r="U22" i="23"/>
  <c r="U21" i="23"/>
  <c r="U20" i="23"/>
  <c r="O20" i="23"/>
  <c r="U19" i="23"/>
  <c r="O19" i="23"/>
  <c r="O18" i="23"/>
  <c r="U18" i="23"/>
  <c r="O17" i="23"/>
  <c r="U17" i="23"/>
  <c r="U25" i="23"/>
  <c r="U37" i="23"/>
  <c r="O37" i="23"/>
  <c r="K37" i="23"/>
  <c r="S23" i="19"/>
  <c r="S22" i="19"/>
  <c r="T51" i="20"/>
  <c r="S51" i="20"/>
  <c r="R51" i="20"/>
  <c r="Q51" i="20"/>
  <c r="P51" i="20"/>
  <c r="O51" i="20"/>
  <c r="M51" i="20"/>
  <c r="I51" i="20"/>
  <c r="K50" i="20"/>
  <c r="U50" i="20"/>
  <c r="J50" i="20"/>
  <c r="I50" i="20"/>
  <c r="N49" i="20"/>
  <c r="U49" i="20"/>
  <c r="U48" i="20"/>
  <c r="N47" i="20"/>
  <c r="U47" i="20"/>
  <c r="U45" i="20"/>
  <c r="N45" i="20"/>
  <c r="U44" i="20"/>
  <c r="N44" i="20"/>
  <c r="I43" i="20"/>
  <c r="U43" i="20"/>
  <c r="J42" i="20"/>
  <c r="V42" i="20"/>
  <c r="V41" i="20"/>
  <c r="N41" i="20"/>
  <c r="N51" i="20"/>
  <c r="J40" i="20"/>
  <c r="V40" i="20"/>
  <c r="J39" i="20"/>
  <c r="V39" i="20"/>
  <c r="J38" i="20"/>
  <c r="V38" i="20"/>
  <c r="U37" i="20"/>
  <c r="J37" i="20"/>
  <c r="U36" i="20"/>
  <c r="J36" i="20"/>
  <c r="J35" i="20"/>
  <c r="U35" i="20"/>
  <c r="J34" i="20"/>
  <c r="J51" i="20"/>
  <c r="V33" i="20"/>
  <c r="J33" i="20"/>
  <c r="K32" i="20"/>
  <c r="V32" i="20"/>
  <c r="K31" i="20"/>
  <c r="V31" i="20"/>
  <c r="K30" i="20"/>
  <c r="U30" i="20"/>
  <c r="U29" i="20"/>
  <c r="K28" i="20"/>
  <c r="U28" i="20"/>
  <c r="U27" i="20"/>
  <c r="U26" i="20"/>
  <c r="U25" i="20"/>
  <c r="U24" i="20"/>
  <c r="U23" i="20"/>
  <c r="U22" i="20"/>
  <c r="U21" i="20"/>
  <c r="U20" i="20"/>
  <c r="L19" i="20"/>
  <c r="U19" i="20"/>
  <c r="U18" i="20"/>
  <c r="L17" i="20"/>
  <c r="U17" i="20"/>
  <c r="S27" i="19"/>
  <c r="S19" i="19"/>
  <c r="S18" i="19"/>
  <c r="S16" i="19"/>
  <c r="S29" i="19"/>
  <c r="S24" i="19"/>
  <c r="S31" i="19"/>
  <c r="S32" i="19"/>
  <c r="S26" i="19"/>
  <c r="S20" i="19"/>
  <c r="U34" i="20"/>
  <c r="U51" i="20"/>
  <c r="K51" i="20"/>
  <c r="L51" i="20"/>
  <c r="B14" i="32"/>
  <c r="D15" i="32"/>
  <c r="B12" i="32"/>
  <c r="B11" i="32"/>
  <c r="E10" i="32"/>
  <c r="B10" i="32"/>
  <c r="B9" i="32"/>
  <c r="U49" i="11"/>
  <c r="U17" i="11"/>
  <c r="U18" i="11"/>
  <c r="U19" i="11"/>
  <c r="B8" i="32"/>
  <c r="B7" i="32"/>
  <c r="B6" i="32"/>
  <c r="C5" i="32"/>
  <c r="C15" i="32" s="1"/>
  <c r="B5" i="32"/>
  <c r="K6" i="28"/>
  <c r="K5" i="28"/>
  <c r="K4" i="28"/>
  <c r="D7" i="28"/>
  <c r="I6" i="28"/>
  <c r="C16" i="31"/>
  <c r="C59" i="31"/>
  <c r="C92" i="31"/>
  <c r="C95" i="31"/>
  <c r="C99" i="31"/>
  <c r="I4" i="28"/>
  <c r="I5" i="28"/>
  <c r="D102" i="31"/>
  <c r="C10" i="27"/>
  <c r="D95" i="31"/>
  <c r="C8" i="27"/>
  <c r="D92" i="31"/>
  <c r="C7" i="27"/>
  <c r="D59" i="31"/>
  <c r="C6" i="27"/>
  <c r="D16" i="31"/>
  <c r="C5" i="27"/>
  <c r="C101" i="31"/>
  <c r="C102" i="31"/>
  <c r="C9" i="27"/>
  <c r="C11" i="27"/>
  <c r="J9" i="27"/>
  <c r="I7" i="28"/>
  <c r="C103" i="31"/>
  <c r="J6" i="27"/>
  <c r="J10" i="27"/>
  <c r="J5" i="27"/>
  <c r="J8" i="27"/>
  <c r="J7" i="27"/>
  <c r="E9" i="27"/>
  <c r="E6" i="27"/>
  <c r="E5" i="27"/>
  <c r="E7" i="27"/>
  <c r="E8" i="27"/>
  <c r="U30" i="17"/>
  <c r="U31" i="17"/>
  <c r="U33" i="17"/>
  <c r="U35" i="17"/>
  <c r="U40" i="17"/>
  <c r="S18" i="14"/>
  <c r="R51" i="17"/>
  <c r="P51" i="17"/>
  <c r="M51" i="17"/>
  <c r="L51" i="17"/>
  <c r="I51" i="17"/>
  <c r="T50" i="17"/>
  <c r="S50" i="17"/>
  <c r="R50" i="17"/>
  <c r="Q50" i="17"/>
  <c r="P50" i="17"/>
  <c r="O50" i="17"/>
  <c r="N50" i="17"/>
  <c r="M50" i="17"/>
  <c r="L50" i="17"/>
  <c r="K50" i="17"/>
  <c r="J50" i="17"/>
  <c r="I50" i="17"/>
  <c r="T49" i="17"/>
  <c r="S49" i="17"/>
  <c r="R49" i="17"/>
  <c r="Q49" i="17"/>
  <c r="P49" i="17"/>
  <c r="O49" i="17"/>
  <c r="N49" i="17"/>
  <c r="M49" i="17"/>
  <c r="L49" i="17"/>
  <c r="K49" i="17"/>
  <c r="U49" i="17"/>
  <c r="J49" i="17"/>
  <c r="I49" i="17"/>
  <c r="T48" i="17"/>
  <c r="S48" i="17"/>
  <c r="R48" i="17"/>
  <c r="Q48" i="17"/>
  <c r="P48" i="17"/>
  <c r="O48" i="17"/>
  <c r="N48" i="17"/>
  <c r="M48" i="17"/>
  <c r="L48" i="17"/>
  <c r="K48" i="17"/>
  <c r="J48" i="17"/>
  <c r="I48" i="17"/>
  <c r="T47" i="17"/>
  <c r="S47" i="17"/>
  <c r="R47" i="17"/>
  <c r="Q47" i="17"/>
  <c r="P47" i="17"/>
  <c r="O47" i="17"/>
  <c r="N47" i="17"/>
  <c r="M47" i="17"/>
  <c r="L47" i="17"/>
  <c r="K47" i="17"/>
  <c r="J47" i="17"/>
  <c r="I47" i="17"/>
  <c r="U46" i="17"/>
  <c r="J45" i="17"/>
  <c r="U45" i="17"/>
  <c r="J44" i="17"/>
  <c r="U44" i="17"/>
  <c r="U43" i="17"/>
  <c r="U42" i="17"/>
  <c r="T41" i="17"/>
  <c r="U41" i="17"/>
  <c r="T40" i="17"/>
  <c r="H39" i="17"/>
  <c r="H51" i="17"/>
  <c r="S38" i="17"/>
  <c r="U38" i="17"/>
  <c r="N37" i="17"/>
  <c r="O36" i="17"/>
  <c r="U36" i="17"/>
  <c r="O34" i="17"/>
  <c r="U34" i="17"/>
  <c r="O32" i="17"/>
  <c r="U32" i="17"/>
  <c r="N31" i="17"/>
  <c r="N30" i="17"/>
  <c r="O29" i="17"/>
  <c r="U29" i="17"/>
  <c r="M28" i="17"/>
  <c r="U28" i="17"/>
  <c r="M27" i="17"/>
  <c r="U27" i="17"/>
  <c r="K26" i="17"/>
  <c r="U26" i="17"/>
  <c r="K25" i="17"/>
  <c r="U25" i="17"/>
  <c r="U24" i="17"/>
  <c r="U23" i="17"/>
  <c r="T22" i="17"/>
  <c r="U22" i="17"/>
  <c r="T21" i="17"/>
  <c r="T51" i="17"/>
  <c r="Q21" i="17"/>
  <c r="Q51" i="17"/>
  <c r="N21" i="17"/>
  <c r="N51" i="17"/>
  <c r="K21" i="17"/>
  <c r="U20" i="17"/>
  <c r="S20" i="17"/>
  <c r="M18" i="17"/>
  <c r="U18" i="17"/>
  <c r="U17" i="17"/>
  <c r="U47" i="17"/>
  <c r="J51" i="17"/>
  <c r="U50" i="17"/>
  <c r="U48" i="17"/>
  <c r="K51" i="17"/>
  <c r="U21" i="17"/>
  <c r="S39" i="17"/>
  <c r="U39" i="17"/>
  <c r="O51" i="17"/>
  <c r="S51" i="17"/>
  <c r="U19" i="15"/>
  <c r="S19" i="15"/>
  <c r="S20" i="15"/>
  <c r="U17" i="15"/>
  <c r="U20" i="15"/>
  <c r="R17" i="15"/>
  <c r="R20" i="15"/>
  <c r="O17" i="15"/>
  <c r="O20" i="15"/>
  <c r="K17" i="15"/>
  <c r="K20" i="15"/>
  <c r="S37" i="12"/>
  <c r="S32" i="12"/>
  <c r="S31" i="12"/>
  <c r="S24" i="12"/>
  <c r="S16" i="12"/>
  <c r="T64" i="13"/>
  <c r="S64" i="13"/>
  <c r="R64" i="13"/>
  <c r="Q64" i="13"/>
  <c r="P64" i="13"/>
  <c r="O64" i="13"/>
  <c r="N64" i="13"/>
  <c r="M64" i="13"/>
  <c r="L64" i="13"/>
  <c r="K64" i="13"/>
  <c r="I64" i="13"/>
  <c r="U63" i="13"/>
  <c r="T63" i="13"/>
  <c r="U62" i="13"/>
  <c r="U61" i="13"/>
  <c r="U60" i="13"/>
  <c r="U59" i="13"/>
  <c r="U58" i="13"/>
  <c r="U57" i="13"/>
  <c r="U56" i="13"/>
  <c r="U55" i="13"/>
  <c r="U54" i="13"/>
  <c r="U53" i="13"/>
  <c r="U52" i="13"/>
  <c r="U51" i="13"/>
  <c r="U50" i="13"/>
  <c r="U49" i="13"/>
  <c r="U48" i="13"/>
  <c r="U47" i="13"/>
  <c r="U46" i="13"/>
  <c r="U45" i="13"/>
  <c r="U44" i="13"/>
  <c r="U41" i="13"/>
  <c r="J40" i="13"/>
  <c r="J64" i="13"/>
  <c r="U39" i="13"/>
  <c r="U38" i="13"/>
  <c r="U37" i="13"/>
  <c r="U36" i="13"/>
  <c r="U35" i="13"/>
  <c r="U34" i="13"/>
  <c r="U33" i="13"/>
  <c r="U32" i="13"/>
  <c r="U31" i="13"/>
  <c r="U30" i="13"/>
  <c r="U29" i="13"/>
  <c r="U28" i="13"/>
  <c r="U27" i="13"/>
  <c r="U26" i="13"/>
  <c r="U25" i="13"/>
  <c r="U24" i="13"/>
  <c r="U23" i="13"/>
  <c r="U22" i="13"/>
  <c r="U21" i="13"/>
  <c r="U20" i="13"/>
  <c r="U19" i="13"/>
  <c r="U18" i="13"/>
  <c r="U17" i="13"/>
  <c r="U40" i="13"/>
  <c r="U64" i="13"/>
  <c r="S21" i="10"/>
  <c r="S22" i="10"/>
  <c r="T63" i="11"/>
  <c r="S63" i="11"/>
  <c r="R63" i="11"/>
  <c r="P63" i="11"/>
  <c r="O63" i="11"/>
  <c r="M63" i="11"/>
  <c r="L63" i="11"/>
  <c r="J63" i="11"/>
  <c r="I63" i="11"/>
  <c r="U62" i="11"/>
  <c r="U61" i="11"/>
  <c r="U60" i="11"/>
  <c r="U59" i="11"/>
  <c r="U58" i="11"/>
  <c r="U57" i="11"/>
  <c r="U56" i="11"/>
  <c r="U55" i="11"/>
  <c r="U53" i="11"/>
  <c r="U52" i="11"/>
  <c r="U51" i="11"/>
  <c r="U50" i="11"/>
  <c r="T49" i="11"/>
  <c r="N49" i="11"/>
  <c r="U48" i="11"/>
  <c r="U47" i="11"/>
  <c r="U46" i="11"/>
  <c r="U45" i="11"/>
  <c r="U44" i="11"/>
  <c r="U43" i="11"/>
  <c r="U42" i="11"/>
  <c r="U41" i="11"/>
  <c r="U40" i="11"/>
  <c r="U39" i="11"/>
  <c r="U38" i="11"/>
  <c r="U37" i="11"/>
  <c r="U36" i="11"/>
  <c r="U35" i="11"/>
  <c r="U34" i="11"/>
  <c r="U33" i="11"/>
  <c r="U32" i="11"/>
  <c r="U31" i="11"/>
  <c r="U30" i="11"/>
  <c r="U29" i="11"/>
  <c r="U28" i="11"/>
  <c r="U27" i="11"/>
  <c r="U26" i="11"/>
  <c r="U25" i="11"/>
  <c r="U24" i="11"/>
  <c r="U23" i="11"/>
  <c r="K23" i="11"/>
  <c r="T22" i="11"/>
  <c r="U22" i="11"/>
  <c r="U21" i="11"/>
  <c r="T20" i="11"/>
  <c r="Q20" i="11"/>
  <c r="N20" i="11"/>
  <c r="U20" i="11"/>
  <c r="K20" i="11"/>
  <c r="K63" i="11"/>
  <c r="Q19" i="11"/>
  <c r="Q63" i="11"/>
  <c r="N19" i="11"/>
  <c r="N63" i="11"/>
  <c r="T17" i="11"/>
  <c r="S19" i="10"/>
  <c r="S16" i="10"/>
  <c r="U63" i="11"/>
  <c r="S21" i="8"/>
  <c r="S19" i="8"/>
  <c r="S16" i="8"/>
  <c r="S50" i="9"/>
  <c r="M50" i="9"/>
  <c r="K50" i="9"/>
  <c r="J50" i="9"/>
  <c r="I50" i="9"/>
  <c r="R48" i="9"/>
  <c r="R47" i="9"/>
  <c r="R46" i="9"/>
  <c r="R45" i="9"/>
  <c r="R44" i="9"/>
  <c r="R43" i="9"/>
  <c r="R42" i="9"/>
  <c r="R41" i="9"/>
  <c r="R40" i="9"/>
  <c r="R39" i="9"/>
  <c r="R38" i="9"/>
  <c r="R37" i="9"/>
  <c r="R50" i="9"/>
  <c r="R36" i="9"/>
  <c r="R35" i="9"/>
  <c r="U34" i="9"/>
  <c r="L34" i="9"/>
  <c r="U33" i="9"/>
  <c r="L33" i="9"/>
  <c r="L32" i="9"/>
  <c r="U32" i="9"/>
  <c r="U31" i="9"/>
  <c r="L31" i="9"/>
  <c r="L50" i="9"/>
  <c r="U26" i="9"/>
  <c r="P25" i="9"/>
  <c r="U24" i="9"/>
  <c r="M24" i="9"/>
  <c r="U23" i="9"/>
  <c r="N23" i="9"/>
  <c r="U22" i="9"/>
  <c r="N22" i="9"/>
  <c r="U21" i="9"/>
  <c r="P21" i="9"/>
  <c r="P50" i="9"/>
  <c r="U19" i="9"/>
  <c r="T19" i="9"/>
  <c r="T50" i="9"/>
  <c r="Q19" i="9"/>
  <c r="Q50" i="9"/>
  <c r="O19" i="9"/>
  <c r="O50" i="9"/>
  <c r="N19" i="9"/>
  <c r="N50" i="9"/>
  <c r="U18" i="9"/>
  <c r="U17" i="9"/>
  <c r="U50" i="9"/>
  <c r="S19" i="4"/>
  <c r="S17" i="4"/>
  <c r="S18" i="4"/>
  <c r="Q19" i="7"/>
  <c r="P19" i="7"/>
  <c r="U18" i="7"/>
  <c r="T18" i="7"/>
  <c r="S18" i="7"/>
  <c r="S19" i="7"/>
  <c r="R18" i="7"/>
  <c r="R19" i="7"/>
  <c r="Q18" i="7"/>
  <c r="P18" i="7"/>
  <c r="O18" i="7"/>
  <c r="N18" i="7"/>
  <c r="M18" i="7"/>
  <c r="L18" i="7"/>
  <c r="U17" i="7"/>
  <c r="U19" i="7"/>
  <c r="T17" i="7"/>
  <c r="T19" i="7"/>
  <c r="S17" i="7"/>
  <c r="R17" i="7"/>
  <c r="Q17" i="7"/>
  <c r="P17" i="7"/>
  <c r="O17" i="7"/>
  <c r="O19" i="7"/>
  <c r="N17" i="7"/>
  <c r="N19" i="7"/>
  <c r="M17" i="7"/>
  <c r="M19" i="7"/>
  <c r="L17" i="7"/>
  <c r="L19" i="7"/>
  <c r="U16" i="6"/>
  <c r="E36" i="24"/>
  <c r="D36" i="24"/>
  <c r="C36" i="24"/>
  <c r="B36" i="24"/>
  <c r="E35" i="24"/>
  <c r="E40" i="24"/>
  <c r="D35" i="24"/>
  <c r="D40" i="24"/>
  <c r="N40" i="24"/>
  <c r="C35" i="24"/>
  <c r="B35" i="24"/>
  <c r="I20" i="24"/>
  <c r="J20" i="24"/>
  <c r="K20" i="24"/>
  <c r="J19" i="24"/>
  <c r="K19" i="24"/>
  <c r="I19" i="24"/>
  <c r="H17" i="24"/>
  <c r="I17" i="24"/>
  <c r="J17" i="24"/>
  <c r="K17" i="24"/>
  <c r="H16" i="24"/>
  <c r="H21" i="24"/>
  <c r="C16" i="24"/>
  <c r="E10" i="24"/>
  <c r="K35" i="24"/>
  <c r="D10" i="24"/>
  <c r="J40" i="24"/>
  <c r="C10" i="24"/>
  <c r="I40" i="24"/>
  <c r="B10" i="24"/>
  <c r="H40" i="24"/>
  <c r="E8" i="24"/>
  <c r="E30" i="24"/>
  <c r="D8" i="24"/>
  <c r="D30" i="24"/>
  <c r="C8" i="24"/>
  <c r="C30" i="24"/>
  <c r="B8" i="24"/>
  <c r="B9" i="24"/>
  <c r="B37" i="24"/>
  <c r="E6" i="24"/>
  <c r="E26" i="24"/>
  <c r="D6" i="24"/>
  <c r="D26" i="24"/>
  <c r="C6" i="24"/>
  <c r="C26" i="24"/>
  <c r="B6" i="24"/>
  <c r="B26" i="24"/>
  <c r="O30" i="24"/>
  <c r="E32" i="24"/>
  <c r="O32" i="24"/>
  <c r="B29" i="24"/>
  <c r="L29" i="24"/>
  <c r="B28" i="24"/>
  <c r="L28" i="24"/>
  <c r="B27" i="24"/>
  <c r="L27" i="24"/>
  <c r="B33" i="24"/>
  <c r="L33" i="24"/>
  <c r="L26" i="24"/>
  <c r="E38" i="24"/>
  <c r="D27" i="24"/>
  <c r="N27" i="24"/>
  <c r="D33" i="24"/>
  <c r="N33" i="24"/>
  <c r="N26" i="24"/>
  <c r="D29" i="24"/>
  <c r="D28" i="24"/>
  <c r="N28" i="24"/>
  <c r="B38" i="24"/>
  <c r="E33" i="24"/>
  <c r="O33" i="24"/>
  <c r="O26" i="24"/>
  <c r="E29" i="24"/>
  <c r="O29" i="24"/>
  <c r="E28" i="24"/>
  <c r="O28" i="24"/>
  <c r="E27" i="24"/>
  <c r="O27" i="24"/>
  <c r="B41" i="24"/>
  <c r="H22" i="24"/>
  <c r="I21" i="24"/>
  <c r="J21" i="24"/>
  <c r="K21" i="24"/>
  <c r="O40" i="24"/>
  <c r="C28" i="24"/>
  <c r="M28" i="24"/>
  <c r="C27" i="24"/>
  <c r="M27" i="24"/>
  <c r="C33" i="24"/>
  <c r="M33" i="24"/>
  <c r="M26" i="24"/>
  <c r="C29" i="24"/>
  <c r="M29" i="24"/>
  <c r="C32" i="24"/>
  <c r="M30" i="24"/>
  <c r="D32" i="24"/>
  <c r="C9" i="24"/>
  <c r="C37" i="24"/>
  <c r="H30" i="24"/>
  <c r="C38" i="24"/>
  <c r="K40" i="24"/>
  <c r="D9" i="24"/>
  <c r="D37" i="24"/>
  <c r="I16" i="24"/>
  <c r="J16" i="24"/>
  <c r="K16" i="24"/>
  <c r="I30" i="24"/>
  <c r="B31" i="24"/>
  <c r="L31" i="24"/>
  <c r="H32" i="24"/>
  <c r="H36" i="24"/>
  <c r="H37" i="24"/>
  <c r="H41" i="24"/>
  <c r="D38" i="24"/>
  <c r="B40" i="24"/>
  <c r="L40" i="24"/>
  <c r="E9" i="24"/>
  <c r="E37" i="24"/>
  <c r="C17" i="24"/>
  <c r="C18" i="24"/>
  <c r="H18" i="24"/>
  <c r="I18" i="24"/>
  <c r="J18" i="24"/>
  <c r="K18" i="24"/>
  <c r="J30" i="24"/>
  <c r="N30" i="24"/>
  <c r="C31" i="24"/>
  <c r="M31" i="24"/>
  <c r="I32" i="24"/>
  <c r="N35" i="24"/>
  <c r="I36" i="24"/>
  <c r="I37" i="24"/>
  <c r="I41" i="24"/>
  <c r="C40" i="24"/>
  <c r="M40" i="24"/>
  <c r="H29" i="24"/>
  <c r="K30" i="24"/>
  <c r="D31" i="24"/>
  <c r="J32" i="24"/>
  <c r="O35" i="24"/>
  <c r="J36" i="24"/>
  <c r="J37" i="24"/>
  <c r="J41" i="24"/>
  <c r="B16" i="24"/>
  <c r="I29" i="24"/>
  <c r="B30" i="24"/>
  <c r="H31" i="24"/>
  <c r="K32" i="24"/>
  <c r="H35" i="24"/>
  <c r="L35" i="24"/>
  <c r="K36" i="24"/>
  <c r="K37" i="24"/>
  <c r="K41" i="24"/>
  <c r="M16" i="24"/>
  <c r="J29" i="24"/>
  <c r="I31" i="24"/>
  <c r="I35" i="24"/>
  <c r="M35" i="24"/>
  <c r="D16" i="24"/>
  <c r="K29" i="24"/>
  <c r="J31" i="24"/>
  <c r="J35" i="24"/>
  <c r="E16" i="24"/>
  <c r="K31" i="24"/>
  <c r="O31" i="24"/>
  <c r="P35" i="24"/>
  <c r="M18" i="24"/>
  <c r="C19" i="24"/>
  <c r="O16" i="24"/>
  <c r="E17" i="24"/>
  <c r="E18" i="24"/>
  <c r="M38" i="24"/>
  <c r="C39" i="24"/>
  <c r="M39" i="24"/>
  <c r="O25" i="24"/>
  <c r="O38" i="24"/>
  <c r="E39" i="24"/>
  <c r="O39" i="24"/>
  <c r="O34" i="24"/>
  <c r="N16" i="24"/>
  <c r="D17" i="24"/>
  <c r="D18" i="24"/>
  <c r="C41" i="24"/>
  <c r="M41" i="24"/>
  <c r="M37" i="24"/>
  <c r="L37" i="24"/>
  <c r="P26" i="24"/>
  <c r="N31" i="24"/>
  <c r="P31" i="24"/>
  <c r="L38" i="24"/>
  <c r="B39" i="24"/>
  <c r="L39" i="24"/>
  <c r="P39" i="24"/>
  <c r="O37" i="24"/>
  <c r="E41" i="24"/>
  <c r="O41" i="24"/>
  <c r="N37" i="24"/>
  <c r="D41" i="24"/>
  <c r="N41" i="24"/>
  <c r="N36" i="24"/>
  <c r="N34" i="24"/>
  <c r="P27" i="24"/>
  <c r="N38" i="24"/>
  <c r="D39" i="24"/>
  <c r="N39" i="24"/>
  <c r="O36" i="24"/>
  <c r="M32" i="24"/>
  <c r="M25" i="24"/>
  <c r="I22" i="24"/>
  <c r="J22" i="24"/>
  <c r="K22" i="24"/>
  <c r="H23" i="24"/>
  <c r="B32" i="24"/>
  <c r="L32" i="24"/>
  <c r="P32" i="24"/>
  <c r="L30" i="24"/>
  <c r="P30" i="24"/>
  <c r="C21" i="24"/>
  <c r="M17" i="24"/>
  <c r="L36" i="24"/>
  <c r="L41" i="24"/>
  <c r="P41" i="24"/>
  <c r="P33" i="24"/>
  <c r="B18" i="24"/>
  <c r="L16" i="24"/>
  <c r="B17" i="24"/>
  <c r="P40" i="24"/>
  <c r="N32" i="24"/>
  <c r="M36" i="24"/>
  <c r="M34" i="24"/>
  <c r="N29" i="24"/>
  <c r="N25" i="24"/>
  <c r="P28" i="24"/>
  <c r="P29" i="24"/>
  <c r="D19" i="24"/>
  <c r="N18" i="24"/>
  <c r="P38" i="24"/>
  <c r="E19" i="24"/>
  <c r="O18" i="24"/>
  <c r="P36" i="24"/>
  <c r="L25" i="24"/>
  <c r="P25" i="24"/>
  <c r="E21" i="24"/>
  <c r="O17" i="24"/>
  <c r="L18" i="24"/>
  <c r="B19" i="24"/>
  <c r="P37" i="24"/>
  <c r="M21" i="24"/>
  <c r="C22" i="24"/>
  <c r="M22" i="24"/>
  <c r="C23" i="24"/>
  <c r="M19" i="24"/>
  <c r="C20" i="24"/>
  <c r="M20" i="24"/>
  <c r="H24" i="24"/>
  <c r="I24" i="24"/>
  <c r="J24" i="24"/>
  <c r="K24" i="24"/>
  <c r="I23" i="24"/>
  <c r="J23" i="24"/>
  <c r="K23" i="24"/>
  <c r="B21" i="24"/>
  <c r="L17" i="24"/>
  <c r="P17" i="24"/>
  <c r="P16" i="24"/>
  <c r="D21" i="24"/>
  <c r="N17" i="24"/>
  <c r="L34" i="24"/>
  <c r="O21" i="24"/>
  <c r="E22" i="24"/>
  <c r="O22" i="24"/>
  <c r="D23" i="24"/>
  <c r="N19" i="24"/>
  <c r="D20" i="24"/>
  <c r="N20" i="24"/>
  <c r="L21" i="24"/>
  <c r="B22" i="24"/>
  <c r="L22" i="24"/>
  <c r="O19" i="24"/>
  <c r="E20" i="24"/>
  <c r="O20" i="24"/>
  <c r="E23" i="24"/>
  <c r="M23" i="24"/>
  <c r="C24" i="24"/>
  <c r="M24" i="24"/>
  <c r="P34" i="24"/>
  <c r="P18" i="24"/>
  <c r="B20" i="24"/>
  <c r="L20" i="24"/>
  <c r="B23" i="24"/>
  <c r="L19" i="24"/>
  <c r="N21" i="24"/>
  <c r="D22" i="24"/>
  <c r="N22" i="24"/>
  <c r="M15" i="24"/>
  <c r="M42" i="24"/>
  <c r="P21" i="24"/>
  <c r="P19" i="24"/>
  <c r="E24" i="24"/>
  <c r="O24" i="24"/>
  <c r="O23" i="24"/>
  <c r="L23" i="24"/>
  <c r="P23" i="24"/>
  <c r="B24" i="24"/>
  <c r="L24" i="24"/>
  <c r="P24" i="24"/>
  <c r="P20" i="24"/>
  <c r="O15" i="24"/>
  <c r="O42" i="24"/>
  <c r="P22" i="24"/>
  <c r="N23" i="24"/>
  <c r="N15" i="24"/>
  <c r="N42" i="24"/>
  <c r="D24" i="24"/>
  <c r="N24" i="24"/>
  <c r="L15" i="24"/>
  <c r="P15" i="24"/>
  <c r="L42" i="24"/>
  <c r="P42" i="24"/>
  <c r="T42" i="5"/>
  <c r="S42" i="5"/>
  <c r="R42" i="5"/>
  <c r="Q42" i="5"/>
  <c r="P42" i="5"/>
  <c r="O42" i="5"/>
  <c r="N42" i="5"/>
  <c r="L42" i="5"/>
  <c r="K42" i="5"/>
  <c r="J42" i="5"/>
  <c r="I42" i="5"/>
  <c r="U41" i="5"/>
  <c r="M41" i="5"/>
  <c r="U40" i="5"/>
  <c r="M40" i="5"/>
  <c r="M42" i="5"/>
  <c r="U39" i="5"/>
  <c r="U38" i="5"/>
  <c r="U37" i="5"/>
  <c r="U36" i="5"/>
  <c r="U35" i="5"/>
  <c r="U34" i="5"/>
  <c r="U33" i="5"/>
  <c r="U32" i="5"/>
  <c r="U31" i="5"/>
  <c r="U30" i="5"/>
  <c r="U29" i="5"/>
  <c r="U28" i="5"/>
  <c r="U27" i="5"/>
  <c r="U26" i="5"/>
  <c r="U25" i="5"/>
  <c r="U24" i="5"/>
  <c r="U23" i="5"/>
  <c r="U22" i="5"/>
  <c r="U21" i="5"/>
  <c r="U20" i="5"/>
  <c r="U19" i="5"/>
  <c r="U18" i="5"/>
  <c r="U17" i="5"/>
  <c r="U42" i="5"/>
  <c r="E27" i="21"/>
  <c r="E26" i="21"/>
  <c r="E25" i="21"/>
  <c r="E24" i="21"/>
  <c r="E23" i="21"/>
  <c r="E22" i="21"/>
  <c r="E21" i="21"/>
  <c r="E20" i="21"/>
  <c r="E19" i="21"/>
  <c r="E18" i="21"/>
  <c r="E17" i="21"/>
  <c r="E16" i="21"/>
  <c r="E15" i="21"/>
  <c r="E14" i="21"/>
  <c r="E13" i="21"/>
  <c r="E12" i="21"/>
  <c r="E11" i="21"/>
  <c r="E10" i="21"/>
  <c r="E50" i="21"/>
  <c r="O24" i="18"/>
  <c r="O25" i="18"/>
  <c r="O23" i="18"/>
  <c r="O22" i="18"/>
  <c r="O21" i="18"/>
  <c r="O13" i="18"/>
  <c r="O12" i="18"/>
  <c r="O11" i="18"/>
  <c r="O10" i="18"/>
  <c r="O14" i="18"/>
  <c r="U51" i="17"/>
  <c r="B15" i="32" l="1"/>
  <c r="B2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Maria Quinones Garcia</author>
  </authors>
  <commentList>
    <comment ref="S30" authorId="0" shapeId="0" xr:uid="{EFCBCD8D-9E57-48D7-8C06-5A01F5AFC1F1}">
      <text>
        <r>
          <rPr>
            <b/>
            <sz val="9"/>
            <color indexed="81"/>
            <rFont val="Tahoma"/>
            <family val="2"/>
          </rPr>
          <t>Luz Maria Quinones Garcia:</t>
        </r>
        <r>
          <rPr>
            <sz val="9"/>
            <color indexed="81"/>
            <rFont val="Tahoma"/>
            <family val="2"/>
          </rPr>
          <t xml:space="preserve">
Incluye un bono por desempeño de un sueldo</t>
        </r>
      </text>
    </comment>
  </commentList>
</comments>
</file>

<file path=xl/sharedStrings.xml><?xml version="1.0" encoding="utf-8"?>
<sst xmlns="http://schemas.openxmlformats.org/spreadsheetml/2006/main" count="3083" uniqueCount="1366">
  <si>
    <t>ESCENARIO 1:</t>
  </si>
  <si>
    <t>Ajuste de 5,000 pesos a los que devengan ingresos hasta 25,000 pesos</t>
  </si>
  <si>
    <t>Colaboradores beneficiados 120 (aproximadamente 45%)</t>
  </si>
  <si>
    <t> OBJETAL</t>
  </si>
  <si>
    <t>DENOMINACIÓN</t>
  </si>
  <si>
    <t>RECURSOS ADICIONALES AÑO 2023</t>
  </si>
  <si>
    <t>2.1.1.1.01</t>
  </si>
  <si>
    <t>Sueldos fijos</t>
  </si>
  <si>
    <t>2.1.2.2.06</t>
  </si>
  <si>
    <t>Compensación por rendimiento</t>
  </si>
  <si>
    <t>2.1.1.4.01</t>
  </si>
  <si>
    <t>Sueldo anual No. 13</t>
  </si>
  <si>
    <t xml:space="preserve">Contribuciones al seguridad social empleador </t>
  </si>
  <si>
    <t>TOTAL</t>
  </si>
  <si>
    <t>ESCENARIO 2:</t>
  </si>
  <si>
    <t>Ajuste de 5,000 pesos a los que devengan ingresos hasta 35,000 pesos</t>
  </si>
  <si>
    <t>Colaboradores beneficiados 169 (aproximadamente 65%)</t>
  </si>
  <si>
    <t xml:space="preserve">Tabla 1: Matriz de Adquisiciones </t>
  </si>
  <si>
    <t xml:space="preserve">Requirimiento o Equipo </t>
  </si>
  <si>
    <t xml:space="preserve">Especificaciones </t>
  </si>
  <si>
    <t>Precio Unitario RD$</t>
  </si>
  <si>
    <t>Cantidad Deseada</t>
  </si>
  <si>
    <t>Total RD$</t>
  </si>
  <si>
    <t>Fuente de Financiamiento</t>
  </si>
  <si>
    <t xml:space="preserve">Objeto del Gasto </t>
  </si>
  <si>
    <t>Computadoras</t>
  </si>
  <si>
    <t>Procesador  minimo de 8 nucleos, velocidad minima de 3.60Ghz
Disco de 1TB
Memoria RAM: Mínimo 16GB de última generación DDR4
Tarjeta de video mínima de 1024 Quad CORE
Windows 10 Pro 64 Bit
Teclado usb
Mouse USB
Monitor mínimo de 27 pulgadas
Garantía 1 año</t>
  </si>
  <si>
    <t>BID</t>
  </si>
  <si>
    <t>Computadoras de Alto rendimiento</t>
  </si>
  <si>
    <t>Procesador Intel Core I9-10900 o superior
RAM: Mínimo  64GB DDR4
Tarjeta de Video NVIDIA GeForce RTX 2060 Super 8GB FH DP
HDMI DVI-P
Monitor mínimo: 27 pulgadas
DISCO DURO mínimo: 512GB M.2 2280 PCIe NVme SSD
DISCO DURO SECUNDARIO mínimo: 1TB 7200RPM 2.5in SATA HDD
WINDOWS 10 PRO
Teclado usb
Mouse USB
Garantía 1 año</t>
  </si>
  <si>
    <t>Laptop</t>
  </si>
  <si>
    <t>Procesador i7 decima generación o superior
Disco duro SSD de 512 GB para el sistema operativo y 1TB
para almacenamiento.
Memoria RAM: Mínimo 16GB de última generación DDR4
Tarjeta de video mínima de 2GB
Windows 10 Pro 64 Bit
Monitor mínimo de 15 pulgadas
Garantía 1 año</t>
  </si>
  <si>
    <t>UPS</t>
  </si>
  <si>
    <r>
      <rPr>
        <b/>
        <sz val="11"/>
        <color theme="1"/>
        <rFont val="Gotham"/>
      </rPr>
      <t>Salida</t>
    </r>
    <r>
      <rPr>
        <sz val="11"/>
        <color theme="1"/>
        <rFont val="Gotham"/>
      </rPr>
      <t xml:space="preserve">
Capacidad eléctrica de salida 330Vatios / 550VA
Potencia máx. configurable (vatios) 330Vatios / 550VA
Voltaje de salida nominal 230V
Frecuencia de salida (sincronizada con la red eléctrica) 50 Hz
</t>
    </r>
    <r>
      <rPr>
        <b/>
        <sz val="11"/>
        <color theme="1"/>
        <rFont val="Gotham"/>
      </rPr>
      <t>Entrada</t>
    </r>
    <r>
      <rPr>
        <sz val="11"/>
        <color theme="1"/>
        <rFont val="Gotham"/>
      </rPr>
      <t xml:space="preserve">
Voltaje Nominal de Entrada 230V
Frecuencia de entrada 50/60 Hz +/- 3 Hz (auto sensing)
Tipo de Conexión de Entrada IEC-320 C14
Corriente máxima de entrada 6.0A
Baterías y tiempo de autonomía
</t>
    </r>
    <r>
      <rPr>
        <b/>
        <sz val="11"/>
        <color theme="1"/>
        <rFont val="Gotham"/>
      </rPr>
      <t>Batería de plomo-ácido</t>
    </r>
    <r>
      <rPr>
        <sz val="11"/>
        <color theme="1"/>
        <rFont val="Gotham"/>
      </rPr>
      <t xml:space="preserve">
Tiempo típico de recarga 12hour(s)
Vida útil esperada de la batería (en años) 3-5 años
Garantía: Mínimo 6 meses</t>
    </r>
  </si>
  <si>
    <t>Teléfonos IP</t>
  </si>
  <si>
    <t>Estándares 802.3 af, 802.1q, SIP
Mínimo 2 puertos LAN RJ-45 (PC y LAN)
codecs G.711, G.722, G.729AB, G.726, G.723.1
soporte VLAN, soporte QoS, NAT/DHCP server, PoE, asignacion estatatica y dinamina de direcciones IP, cliente TFTP
Mínimo 2 lineas, desvio, espera, transferencia, conferencia, retencion, auto respuesta, identificador de llamadas (caller ID), manos libres, multilenguaje, headset
Administracion web (htpps), LAN, TELNET (opcional)
Garantía: 1 año</t>
  </si>
  <si>
    <t>Monitores 24 Pulgadas</t>
  </si>
  <si>
    <t>LCD, tamaño 24 pulgadas, resolucion Full HD 1920 x 1080 pixeles, Entradas VGA, HDMI. Garantia de 6 meses</t>
  </si>
  <si>
    <t>Renovación de Cableado de regional</t>
  </si>
  <si>
    <t>Instalación de cableado estructurado Categoria 6 para 40 puntos.
40 Patch Cord Categoria 6 de 7 pies
40 Patch Cord Categoria 6 de 3 pies
40 Jack RJ45 Categoria 6
1 Patch Panel Categoria 6 de 48 puertos
40 Cajas con su faceplate.
Se requiere que todos los componentes a instalar sean Categoria 6.
El oferente debe tener más de 2 años de experiencia en proyectos similares sustentables.
1 año de Garantía en piezas y servicios en la propuesta.
Se requiere canalización en EMT donde no exista y se debe incluir todos los registros necesarios.
Se requiere etiquetado de todos los puntos y entrega de dicha documentación.
Se requiere realizar levantamiento fisico en la oficina a realizar el cableado.
El oferente debe incluir en su propuesta los materiales, partes y equipos que considere necesarios.</t>
  </si>
  <si>
    <t>Servidores de aplicaciones para el portal Web</t>
  </si>
  <si>
    <t xml:space="preserve">    1. Gen10 tipo Blade 
    2. 2x Intel Xeon Gold 6248 / 2.5 Ghz Processor
    3. Ram 512gb Per Server 2,048gb Total Capacity 8x 
    4. 2x 480gb Sata Mu Sff Sc 5300m Ssd
    5. 1x Hpe Synergy 4820c 10/20/25gb Cna
    6. Redundant Power Supply
    7. Partner certificado por el fabricante de la solución.
    8. Soporte por 3 años con SLA 24x7x4. Este soporte debe ser directo con el oferente y avalado por el fabricante. 
    9. El oferente de la solución debe presentar una certificación por parte del fabricante indicando 
       que este certificado para vender e instalar los componentes propuestos. 
    10. El oferente debe contar con un taller autorizado por el fabricante para brindar servicio a la solución propuesta.</t>
  </si>
  <si>
    <t>Servidores de las operaciones actuales</t>
  </si>
  <si>
    <t xml:space="preserve">    1. Gen10 tipo Blade 
    2. 2x Intel Xeon Gold 6248 / 2.5 Ghz Processor
    3. Ram 512gb Per Server 2,048gb Total Capacity 8x 
    4. 2x 480gb Sata Mu Sff Sc 5300m Ssd
    5. 1x Hpe Synergy 4820c 10/20/25gb Cna
    6. Redundant Power Supply
    7. Partner certificado por el fabricante de la solución.
    8. Soporte por 3 años con SLA 24x7x4. Este soporte debe ser directo con el oferente y avalado 
       por el fabricante. 
    9. El oferente de la solución debe presentar una certificación por parte del fabricante indicando 
       que este certificado para vender e instalar los componentes propuestos. 
    10. El oferente debe contar con un taller autorizado por el fabricante para brindar servicio a la solución propuesta.</t>
  </si>
  <si>
    <t xml:space="preserve">Fortalecimiento de la red de comunicaciones para la conectividad e Interoperabilidad </t>
  </si>
  <si>
    <t xml:space="preserve">Switches de comunicaciones:    
1. Numero de Interfaces Requeridas 48 puertos 10/100/1000Gbps 4 puertos 10G 
    2. Tipo Rack Mount 1U 
    3. Capas de operación Layer 2 / Layer 3 
    4. Dual Stack IPv4/IPv6 
    5. Seguridad MACsec-256 
    6. Soporte EIGRP Si 
    7. stakeables o apilables Si 
    8. Capacidad PoE 1600W o mayor 
    9. Garantía en piezas y Servicios 3 años 8x5 
    10. Partner certificado por el fabricante de la solución. 
    11. Soporte por 3 años con SLA 24x7x4. Este soporte debe ser directo con el oferente y avalado por el fabricante. 
    12. Se deben incluir todos los SFP+, QSPF y patch cords necesarios. 
    13. El oferente de la solución debe presentar una certificación por parte del fabricante indicando que este certificado para vender e instalar los componentes propuestos. 
    14. El oferente debe incluir evidencia de experiencias en al menos tres (3) proyectos de tamaño similar (incluir cartas). 
    15. El oferente debe incluir todos los servicios profesionales requeridos para instalar y poner en marcha toda la solución. </t>
  </si>
  <si>
    <t xml:space="preserve">Actualizar la herramienta de mesa de servicios TI acorde a las mejores practica de ITIL </t>
  </si>
  <si>
    <t>Fortalecimiento sitio alterno – firewall sitio alterno</t>
  </si>
  <si>
    <t xml:space="preserve">
Firewalls:
2 x WAN ports, 2 x MGMT port, 4 X SFP port, 14 x switch ports 
Almacenamiento local 480 GB SSD 
Throughput de Firewall 20 / 20 / 9 Gbps 
Throughput de VPN IPSec  7.2 Gbps 
Throughput de IPS 2.2 Gbps 
SSL-VPN Throughput 900 Mbps 
Sesiones Concurrentes 2 millones 
VPN IPSec/L2TP/PPP al igual que SSL VPN
Filtrado de contenido basado en listas 
Integración con Windows Active Directory 
Análisis de contenido cifrado A (SSL o SSH) para las funcionalidades de Filtrado de URLs
Control de Aplicaciones
Prevención de Fuga de Información 
Antivirus e IPS 
Antivirus en tiempo real en al menos los siguientes protocolos aplicativos: HTTP, SMTP, IMAP, POP3, FTP 
Antivirus en tiempo real, integrado a la plataforma de seguridad “appliance” 
Detección y detención de tráfico spyware, adware y otros tipos de malware/grayware 
Antispam 
Protección contra intrusos (IPS) Online/Offline 
Actualización automática de firmas para el detector de intrusos (IPS). 
Soportar varios proveedores de servicios de comunicaciones al mismo tiempo. 
Interfase gráfica de usuario (GUI), vía Web por HTTP y HTTPS 
Actualizaciones para los servicios de Antivirus, AntiSpam, IPS y URL Filtering 3 años 
Capacidad de cuarentena 
Partner autorizado y certificado por el fabricante 
Garantías en piezas y servicios 3 años </t>
  </si>
  <si>
    <t>Software de respaldo Veem Backup 10 nodes</t>
  </si>
  <si>
    <t>Renovación de la versión Veeam Backup 10 a la ultima versión disponible para 16 Nodos</t>
  </si>
  <si>
    <t>Sistema de video salon de conferencias (Luces, equipos, pantallas, camaras).</t>
  </si>
  <si>
    <t>Adobe Creative Cloud (Renovación)</t>
  </si>
  <si>
    <t>Creative Cloud for Teams (Suite Adobe)</t>
  </si>
  <si>
    <t>Peachtree Accounting (Renovación)</t>
  </si>
  <si>
    <r>
      <t xml:space="preserve">Sage 50Cloud Peachtree 
1. Incluir 10 usuarios
2. Incluir migración de los datos (documentos financieros) 
3. Renovación de la versión 2012 a la última disponible en la modalidad cloud.
4. Renovación por un (1) año. 
5. Incluir los Módulos siguientes: Libros Generales, Cuentas por Pagar, Presupuestos y Estados Financieros , Nomina, Inventarios, Costos de Proyectos o Trabajos,  Cuentas por Cobrar    
</t>
    </r>
    <r>
      <rPr>
        <b/>
        <sz val="11"/>
        <color theme="1"/>
        <rFont val="Gotham"/>
      </rPr>
      <t>*</t>
    </r>
    <r>
      <rPr>
        <sz val="11"/>
        <color theme="1"/>
        <rFont val="Gotham"/>
      </rPr>
      <t xml:space="preserve"> El oferente debe ser partner autorizado de la solución.
</t>
    </r>
    <r>
      <rPr>
        <b/>
        <sz val="11"/>
        <color theme="1"/>
        <rFont val="Gotham"/>
      </rPr>
      <t>*</t>
    </r>
    <r>
      <rPr>
        <sz val="11"/>
        <color theme="1"/>
        <rFont val="Gotham"/>
      </rPr>
      <t xml:space="preserve"> Presentar por lo menos tres cartas de referencias de clientes en república dominicana.</t>
    </r>
  </si>
  <si>
    <t>Renovacion ArcGis WebMapping (Octubre)</t>
  </si>
  <si>
    <t>Renovación de ArcGIS Online 50,000 creditos para 10 Usuarios - Subscription ID 3800636081</t>
  </si>
  <si>
    <t>Adquisición de la Licencia SPSS (Cliente)</t>
  </si>
  <si>
    <t>Total Presupuesto Plan de Adquisiciones RD$</t>
  </si>
  <si>
    <t xml:space="preserve">DEPARTAMENTO DE PLANIFICACION Y DESARROLLO </t>
  </si>
  <si>
    <t>PLAN OPERATIVO ANUAL 2023</t>
  </si>
  <si>
    <t xml:space="preserve">DEPARTAMENTO </t>
  </si>
  <si>
    <t xml:space="preserve">EJE ESTRATEGICO </t>
  </si>
  <si>
    <t>1 Implementación del registro universal de hogares y el registro único de beneficiarios</t>
  </si>
  <si>
    <t xml:space="preserve">OBJETIVO ESTRATEGICO </t>
  </si>
  <si>
    <t>Producto</t>
  </si>
  <si>
    <t>Indicador</t>
  </si>
  <si>
    <t>Medio de Verificación</t>
  </si>
  <si>
    <t xml:space="preserve">Meta Fisica </t>
  </si>
  <si>
    <t xml:space="preserve">Actividades </t>
  </si>
  <si>
    <t>TRIMESTRE 1</t>
  </si>
  <si>
    <t>TRIMESTRE 2</t>
  </si>
  <si>
    <t>TRIMESTRE 3</t>
  </si>
  <si>
    <t xml:space="preserve">TRIMESTRE 4 </t>
  </si>
  <si>
    <t>Presupuesto RD$</t>
  </si>
  <si>
    <t>Riesgos Asociados</t>
  </si>
  <si>
    <t>Unidad de Medida</t>
  </si>
  <si>
    <t>Cantidad</t>
  </si>
  <si>
    <t>Enero</t>
  </si>
  <si>
    <t>Febrero</t>
  </si>
  <si>
    <t>Marzo</t>
  </si>
  <si>
    <t>Abril</t>
  </si>
  <si>
    <t>Mayo</t>
  </si>
  <si>
    <t>Junio</t>
  </si>
  <si>
    <t>Julio</t>
  </si>
  <si>
    <t>Agosto</t>
  </si>
  <si>
    <t>Septiembre</t>
  </si>
  <si>
    <t>Octubre</t>
  </si>
  <si>
    <t>Noviembre</t>
  </si>
  <si>
    <t>Diciembre</t>
  </si>
  <si>
    <t>Documento realizado</t>
  </si>
  <si>
    <t>Documento de homologación de cuestionarios/fichas</t>
  </si>
  <si>
    <t>Secciones de documento</t>
  </si>
  <si>
    <t>1.1 Revisar y/o recomendar los convenios
1.2 Definir el listado de instituciones 
1.3 Realizar reuniones con enlaces en las instituciones
1.4 Análizar los cuestionarios y propuestas de mejora
1.5 Conformar protocolo de interacción 
1.6 Dar deguimiento a las instituciones en la implementación del plan de mejora</t>
  </si>
  <si>
    <t>Instituciones no apliquen nuestras sugerencias de cambios en sus instrumentos de levantamiento</t>
  </si>
  <si>
    <t>Documento compartido con las partes interesadas</t>
  </si>
  <si>
    <t>2.1 Acompañar al departamento de Validación del Dato con el análisis de consistencia
2.2 Reviar las bases de datos en crudo
2.3 Analizar la consistencia de los datos con distintas herramientas
2.4 Conformar documento final con hallazgos encontrados</t>
  </si>
  <si>
    <t>3. Adaptación del índice de desarrollo territorial</t>
  </si>
  <si>
    <t>Índice adaptado</t>
  </si>
  <si>
    <t>Sintaxis/Hoja de resultados</t>
  </si>
  <si>
    <t xml:space="preserve">Cantidad </t>
  </si>
  <si>
    <t>3.1 Adaptar la sintaxis
3.2 Realizar prueba en la base de datos
3.3 Corregir los errores (en el caso de ser detectados)
3.4 Validar e implementar la sintaxis</t>
  </si>
  <si>
    <t>Informe elaborado</t>
  </si>
  <si>
    <t>Informe compartido con la dirección general</t>
  </si>
  <si>
    <t>4.1 Explorar la base de datos en crudo
4.2 Definir herramientas a utilizar para el análisis de los datos
4.3 Analizar los datos
4.4 Redactar el informe</t>
  </si>
  <si>
    <t>Levantamientos no completados en el tiempo estipulado</t>
  </si>
  <si>
    <t xml:space="preserve">5. Registro Único de Beneficiarios  </t>
  </si>
  <si>
    <t>Protocolo diseñado e implementado</t>
  </si>
  <si>
    <t>Las instituciones no provean las bases de datos</t>
  </si>
  <si>
    <t>6. Plataforma interactiva de mapas en línea (Webmapping) actualizada</t>
  </si>
  <si>
    <t>Actualización de datos con base en la plataforma SIUBEN+</t>
  </si>
  <si>
    <t>Plataforma</t>
  </si>
  <si>
    <t>No se generan cortes actualizados de las bases de datos</t>
  </si>
  <si>
    <t>3-Investigación, Inteligencia de Datos y Difusión de la Información</t>
  </si>
  <si>
    <t>7. Resumen de políticas en áreas estratégicas de gobierno y género.</t>
  </si>
  <si>
    <t>Resumen de políticas realizado</t>
  </si>
  <si>
    <t xml:space="preserve">Ejemplar de documento </t>
  </si>
  <si>
    <t>7.1 Realizar reuniones con actores/sectores de intéres
7.2 Decidir los temas a tratar en el resumen de políticas
7.3 Revisar la bibliográfica
7.4 Redactar del resumen de políticas
7.5 Realizar evento de presentación de resultados del resumen de políticas a instituciones relacionadas/interesadas</t>
  </si>
  <si>
    <t xml:space="preserve">8. Investigaciones en áreas estratégicas de gobierno </t>
  </si>
  <si>
    <t>Investigación realizada</t>
  </si>
  <si>
    <t>8.1 Realizar reuniones para explorar el tema a investigar
8.2 Decidir de los temas a tratar en la investigación
8.3 Revisar bibliográfica
8.4 Redactar la investigación
8.5 Conformar ejemplar del documento</t>
  </si>
  <si>
    <t>Capacitaciones realizadas</t>
  </si>
  <si>
    <t>Video editado del taller/Listado de participantes/Programa del taller/Fotos</t>
  </si>
  <si>
    <t>Taller</t>
  </si>
  <si>
    <t>Talleres realizados</t>
  </si>
  <si>
    <t>Listado de participantes y fotos de la actividad</t>
  </si>
  <si>
    <t>10.1 Diseñar del contenido del taller de socialización                                                                                                                                                                                                                                                                                                                                                                                                                                                         10.2 Identificar de las organizaciones comunitarias relevantes a ser convocadas                                                                                                                                                                                                                                                                                                                                                                                                      10.3 Organizar el taller y convocar a las entidades participantes                                                                                                                                                                                                                                                                                                                                                                                                                           10.4 Realizar el taller</t>
  </si>
  <si>
    <t>11. Hacer piloto de interoperabilidad con centros educativos con alta poblacion migrante</t>
  </si>
  <si>
    <t>Diseño realizado e implementado</t>
  </si>
  <si>
    <t>Informe del piloto</t>
  </si>
  <si>
    <t>Dashboard y mapa en línea realizado</t>
  </si>
  <si>
    <t>Dashboard y mapa en línea colgados en la página web de SIUBEN</t>
  </si>
  <si>
    <t>2 (1 dashboard y 1 mapa en línea)</t>
  </si>
  <si>
    <t>Diseño de la encuesta y análisis de resultado</t>
  </si>
  <si>
    <t>Informe de resultados</t>
  </si>
  <si>
    <t>PLAN OPERATIVO ANUAL 2022</t>
  </si>
  <si>
    <t xml:space="preserve">PRESUPUESTO </t>
  </si>
  <si>
    <t>3.1Generar conocimientos a través de la investigación científica y la inteligencia de datos, para ponerlo  al servicio de los hacedores de políticas públicas y de la sociedad en general.</t>
  </si>
  <si>
    <t xml:space="preserve">Insumos </t>
  </si>
  <si>
    <t>Objetal</t>
  </si>
  <si>
    <t xml:space="preserve">Unidad de medida </t>
  </si>
  <si>
    <t>Costo Unitario RD$</t>
  </si>
  <si>
    <t xml:space="preserve">Observación </t>
  </si>
  <si>
    <t>Presupuesto Nacional / Fondo Reponible</t>
  </si>
  <si>
    <t xml:space="preserve">Refrigerios </t>
  </si>
  <si>
    <t>2.2.9.2.01</t>
  </si>
  <si>
    <t>Persona</t>
  </si>
  <si>
    <t>Libretas</t>
  </si>
  <si>
    <t>2.3.9.2.01</t>
  </si>
  <si>
    <t>Unidad</t>
  </si>
  <si>
    <t>Bolígrafos</t>
  </si>
  <si>
    <t xml:space="preserve">Por definir </t>
  </si>
  <si>
    <t>Total</t>
  </si>
  <si>
    <t>Dirección de Operaciones</t>
  </si>
  <si>
    <t>Implementación del Registro Social Universal y el Registro Único de Beneficiarios</t>
  </si>
  <si>
    <t>Crear el registro social universal (RSU) y el registro único de beneficiarios (RUB), enfocando sus funcionalidades a los requerimientos de información y análisis de las políticas sociales nacional y local.</t>
  </si>
  <si>
    <t>RESULTADO ESTRATEGICO</t>
  </si>
  <si>
    <t xml:space="preserve">Consolidado un registro social universal y un registro único de beneficiarios para contribuir  mejorar la asignación del gasto y efectividad de las politicas del sector social </t>
  </si>
  <si>
    <t>Ejecutado T1</t>
  </si>
  <si>
    <t>Cumplimiento T1</t>
  </si>
  <si>
    <t>Ejecutado T2</t>
  </si>
  <si>
    <t>Cumplimiento T2</t>
  </si>
  <si>
    <t>Ejecutado T3</t>
  </si>
  <si>
    <t>Cumplimiento T3</t>
  </si>
  <si>
    <t>Ejecutado T4</t>
  </si>
  <si>
    <t>Cumplimiento T4</t>
  </si>
  <si>
    <t>15- Cerrada las brechas de las solicitudes de punto solidario a nivel nacional</t>
  </si>
  <si>
    <t>% De solicitudes respondidas de puntos solidarios en el tiempo establecido</t>
  </si>
  <si>
    <t>Reporte del sistema de gestión de solicitudes</t>
  </si>
  <si>
    <t>Porcentaje</t>
  </si>
  <si>
    <t>15.1- Realizar levantamientos de puntos solidarios a nivel nacional</t>
  </si>
  <si>
    <t>Cantidad de casos cerrados en el marco del proyecto cierre de brechas</t>
  </si>
  <si>
    <t>Informe del proyecto</t>
  </si>
  <si>
    <t>Casos</t>
  </si>
  <si>
    <t>15.2- Realizar Proyecto cierre de brechas puntos solidarios</t>
  </si>
  <si>
    <t>Falta de recursos</t>
  </si>
  <si>
    <t>16- Implementado un sistema de información  de consulta en línea para la toma de decisiones de las políticas sociales.</t>
  </si>
  <si>
    <t>Hogares encuestados, rondas encuesta SEIA</t>
  </si>
  <si>
    <t>Informe final, datos publicados</t>
  </si>
  <si>
    <t>Ronda</t>
  </si>
  <si>
    <t xml:space="preserve">16.1- Realizar encuesta SEIA </t>
  </si>
  <si>
    <t>Operaciones</t>
  </si>
  <si>
    <t>Crear el Registro Social Universal (RSU) y el Registro Único de Beneficiarios (RUB), enfocando sus funcionalidades a los requerimientos de información y análisis de las políticas sociales nacional y local.</t>
  </si>
  <si>
    <t xml:space="preserve">Objetal </t>
  </si>
  <si>
    <t xml:space="preserve">Observacion </t>
  </si>
  <si>
    <t xml:space="preserve">Presupuesto Nacional </t>
  </si>
  <si>
    <t xml:space="preserve">Pasaje Diario </t>
  </si>
  <si>
    <t>2.2.3.1.01</t>
  </si>
  <si>
    <t xml:space="preserve">Personas </t>
  </si>
  <si>
    <t xml:space="preserve">Viático Facilitador </t>
  </si>
  <si>
    <t xml:space="preserve">Almuerzo y Desayuno </t>
  </si>
  <si>
    <t xml:space="preserve">Material Higiene </t>
  </si>
  <si>
    <t>2.3.9.1.01</t>
  </si>
  <si>
    <t xml:space="preserve">Unidad  </t>
  </si>
  <si>
    <t xml:space="preserve">Material Gastable </t>
  </si>
  <si>
    <t>2.3.9.9.02</t>
  </si>
  <si>
    <t xml:space="preserve">Honorario Conserje </t>
  </si>
  <si>
    <t>2.2.8.7.06</t>
  </si>
  <si>
    <t xml:space="preserve">Honorario Seguridad </t>
  </si>
  <si>
    <t>2.3.9.3.01</t>
  </si>
  <si>
    <t>2.2.2.2.01</t>
  </si>
  <si>
    <t>2.3.2.2.01</t>
  </si>
  <si>
    <t xml:space="preserve">Tshirt Dry Fit </t>
  </si>
  <si>
    <t>Alquiler de Vehículos</t>
  </si>
  <si>
    <t>2.2.5.4.01</t>
  </si>
  <si>
    <t>Data y voz dispositivos móviles</t>
  </si>
  <si>
    <t>2.2.1.5.01</t>
  </si>
  <si>
    <t>Mes</t>
  </si>
  <si>
    <t xml:space="preserve">Tickets Combustibles </t>
  </si>
  <si>
    <t>2.3.7.1.01</t>
  </si>
  <si>
    <t>Galones</t>
  </si>
  <si>
    <t>Gafetes (Carnet)</t>
  </si>
  <si>
    <t>Entrevistadores</t>
  </si>
  <si>
    <t>diario</t>
  </si>
  <si>
    <t>Supervisores</t>
  </si>
  <si>
    <t>Choferes</t>
  </si>
  <si>
    <t xml:space="preserve">Carta Compromiso </t>
  </si>
  <si>
    <t>Seguro de Accidentes</t>
  </si>
  <si>
    <t>2.2.6.3.01</t>
  </si>
  <si>
    <t>Viáticos</t>
  </si>
  <si>
    <t>Viáticos Choferes</t>
  </si>
  <si>
    <t>Headsets</t>
  </si>
  <si>
    <t>2.6.1.3.01</t>
  </si>
  <si>
    <t>Minutos</t>
  </si>
  <si>
    <t>Presupuesto General RD$</t>
  </si>
  <si>
    <t>DNYMTEPLATA</t>
  </si>
  <si>
    <t>ESTE</t>
  </si>
  <si>
    <t>NORCENTRAL</t>
  </si>
  <si>
    <t>SANTODOMINGO</t>
  </si>
  <si>
    <t>Ficha x Persona x Día</t>
  </si>
  <si>
    <t>Encargado</t>
  </si>
  <si>
    <t>Alcance</t>
  </si>
  <si>
    <t>Vehículos</t>
  </si>
  <si>
    <t>Días Lev.</t>
  </si>
  <si>
    <t>Capacitación</t>
  </si>
  <si>
    <t>CANTIDAD</t>
  </si>
  <si>
    <t>DIAS</t>
  </si>
  <si>
    <t>DESCRIPCION /COMPONENTES</t>
  </si>
  <si>
    <t xml:space="preserve">UNIDAD DE MEDIDAD </t>
  </si>
  <si>
    <t>COSTO UNIT. BARRIDOS</t>
  </si>
  <si>
    <t>CAPACITACION</t>
  </si>
  <si>
    <t>PASAJE DIARIO</t>
  </si>
  <si>
    <t>VIATICO FACILITADOR</t>
  </si>
  <si>
    <t>ALMUERZO Y DESAYUNO</t>
  </si>
  <si>
    <t>MATERIAL HIGIENE</t>
  </si>
  <si>
    <t xml:space="preserve">MATERIAL GASTABLE </t>
  </si>
  <si>
    <t xml:space="preserve">HONORARIO CONSERJE </t>
  </si>
  <si>
    <t>HONORARIO SEGURIDAD</t>
  </si>
  <si>
    <t>BIOSEGURIDAD</t>
  </si>
  <si>
    <t>MATERIAL IMPRESO</t>
  </si>
  <si>
    <t>ADQUISICIONES</t>
  </si>
  <si>
    <t>GORRA</t>
  </si>
  <si>
    <t xml:space="preserve">MOCHILA </t>
  </si>
  <si>
    <t xml:space="preserve">TSHIRT DRY FIT </t>
  </si>
  <si>
    <t>BIOSEGURIDAD MASCARILLAS</t>
  </si>
  <si>
    <t>ALQUILER DE VEHICULOS</t>
  </si>
  <si>
    <t>DATA Y VOZ DISPOSITIVO MOVILES</t>
  </si>
  <si>
    <t>TICKETS COMBUSTIBLES</t>
  </si>
  <si>
    <t>GAFETES (CARNET)</t>
  </si>
  <si>
    <t>CONTRATACION</t>
  </si>
  <si>
    <t>ENTREVISTADORES</t>
  </si>
  <si>
    <t>SUPERVISORES</t>
  </si>
  <si>
    <t>CHOFERES</t>
  </si>
  <si>
    <t>CARTA COMPROMISO</t>
  </si>
  <si>
    <t>SEGURO ACCIDENTES</t>
  </si>
  <si>
    <t>VIATICOS</t>
  </si>
  <si>
    <t>VIATICOS CHOFERES</t>
  </si>
  <si>
    <t>TOTAL GENERAL</t>
  </si>
  <si>
    <t>Calidad del Dato</t>
  </si>
  <si>
    <t xml:space="preserve">1.1 Crear el Registro Social Universal (RSU) y el Registro Único de Beneficiarios (RUB), enfocando sus funcionalidades a los requerimientos de información y análisis de las políticas sociales </t>
  </si>
  <si>
    <t>Estrategia</t>
  </si>
  <si>
    <t>Resultado Esperado</t>
  </si>
  <si>
    <t xml:space="preserve">17- Revisión y Certificación de la Calidad del Dato realizada en los tiempos previstos </t>
  </si>
  <si>
    <t>Porcentaje de formularios revisados</t>
  </si>
  <si>
    <t>Informe de Revisión de la Data</t>
  </si>
  <si>
    <t>17.1- Revisar los formularios</t>
  </si>
  <si>
    <t>Fuga de talento humano y no disponibilidad de los datos a revisar</t>
  </si>
  <si>
    <t>Porcentaje de Formularios Certificados</t>
  </si>
  <si>
    <t>Informe de Certificación de la Data</t>
  </si>
  <si>
    <t>17.2- Certificar los Formularios</t>
  </si>
  <si>
    <t>Fuga de talento humano y no disponibilidad de los datos a certificar</t>
  </si>
  <si>
    <t xml:space="preserve">18- Cédulas recuperadas </t>
  </si>
  <si>
    <t xml:space="preserve">Porcentaje de cédulas corregidas </t>
  </si>
  <si>
    <t>18.1- Identificar y Corregir las cédulas 888, 999 y 777</t>
  </si>
  <si>
    <t>No disponibilidad de datos a corregir y Padrón de la Junta Electoral desactualizado</t>
  </si>
  <si>
    <t xml:space="preserve">19- Revisión y Actualización de los procedimientos de calidad del dato </t>
  </si>
  <si>
    <t>Documento elaborado</t>
  </si>
  <si>
    <t>Correo de envio de documento al SGI</t>
  </si>
  <si>
    <t>Documento</t>
  </si>
  <si>
    <t>19.1- Elaborar un documento de revisión de datos y uno certificación de datos</t>
  </si>
  <si>
    <t xml:space="preserve">20- Fortalecimiento del dashboard de calidad del dato </t>
  </si>
  <si>
    <t>Sistema en funcionamiento</t>
  </si>
  <si>
    <t>Aplicativo</t>
  </si>
  <si>
    <t>20.1- Requerimiento y coordinación para el desarrollo del Dashboard</t>
  </si>
  <si>
    <t>El área de Tecnología no entregue en el tiempo requerido</t>
  </si>
  <si>
    <t>17.1- Revisión y Certificación de la Calidad del Dato realizada en los tiempos previstos</t>
  </si>
  <si>
    <t>17.1- Revisar los formularios - Supervisar la calidad levantamiento en las Regionales</t>
  </si>
  <si>
    <t>Presupuesto Nacional</t>
  </si>
  <si>
    <t xml:space="preserve">Viáticos </t>
  </si>
  <si>
    <t xml:space="preserve">dias </t>
  </si>
  <si>
    <t>17.2- Certificar los Formularios - Revisión y certificación de la Base de Datos</t>
  </si>
  <si>
    <t>*Horas extras (cena)</t>
  </si>
  <si>
    <t>Total Presupuesto</t>
  </si>
  <si>
    <t>N/A</t>
  </si>
  <si>
    <t>Cartografía</t>
  </si>
  <si>
    <t xml:space="preserve">Implementación del Registro Social Universal de Hogares y del Registro Único de Beneficiarios.  </t>
  </si>
  <si>
    <t xml:space="preserve">Crear el Registro Social Universal (RSU) de hogares y el Registro Único de Beneficiarios (RUB), enfocando sus funcionalidades a los requerimientos de información y análisis de las políticas sociales. </t>
  </si>
  <si>
    <t>21- Cartografía actualizada de la ONE adoptada.</t>
  </si>
  <si>
    <t>Recepción de todas las capas a nivel nacional geográficas proporcionadas por la ONE con respecto al número de demarcaciones geográficas del país</t>
  </si>
  <si>
    <t xml:space="preserve">Imágenes (shapes) recibidas </t>
  </si>
  <si>
    <t>Demarcaciones (Provincias)</t>
  </si>
  <si>
    <t>21.1- Gestionar los shapes ante la ONE</t>
  </si>
  <si>
    <t xml:space="preserve">Retrazo de entrega de la  ONE en los tiempos acordados
No contar con los recursos tecnológicos necesarios instalados. </t>
  </si>
  <si>
    <t xml:space="preserve">Número de manzanas verificadas </t>
  </si>
  <si>
    <t>Manzanas verificadas</t>
  </si>
  <si>
    <t xml:space="preserve">Manzana </t>
  </si>
  <si>
    <t>21.2- Verificar las vías, edificaciones y manzanas utilizando imágenes satelitales (Google Earth)</t>
  </si>
  <si>
    <t xml:space="preserve">Retrazo de entrega de la  ONE en los tiempos acordados </t>
  </si>
  <si>
    <t>Número de manzanas Impresas</t>
  </si>
  <si>
    <t>Manzanas Impresas</t>
  </si>
  <si>
    <t>21.3- Reproducir y enviar mapas de los shape file a las regionales</t>
  </si>
  <si>
    <t>Retrazo en la verificar las vías y manzanas utilizando imágenes satelitales (Google Earth)</t>
  </si>
  <si>
    <t>22- Cartografía actualizada</t>
  </si>
  <si>
    <t>Número de manzanas actualizadas</t>
  </si>
  <si>
    <t>Capas Geográficas</t>
  </si>
  <si>
    <t>22.1- Verificar  las vías, edificaciones y manzanas utilizando imagenes satelitales (Google Earth)</t>
  </si>
  <si>
    <t>Fallas  en software, hardware y aplicativo arcgis y google earth</t>
  </si>
  <si>
    <t>Número de colaboradores capacitados</t>
  </si>
  <si>
    <t>Listado de asistencia, fotos, programa de capacitación</t>
  </si>
  <si>
    <t>22.2- Taller de capacitación  al personal técnico de las oficinas regionales en uso y manejo del Drone (este, distrito, valdesia y santo domingo)</t>
  </si>
  <si>
    <t>Fallas en software, hardware y aplicativo arcgis</t>
  </si>
  <si>
    <t>23- Serie de Mapas Temáticos elaborados</t>
  </si>
  <si>
    <t xml:space="preserve">Número de mapas elaborados </t>
  </si>
  <si>
    <t>Mapas y formulario de cumplimiento de requerimiento</t>
  </si>
  <si>
    <t>23.1- Elaborar la serie de mapas temáticos</t>
  </si>
  <si>
    <t xml:space="preserve">Insumos enviados incompletos </t>
  </si>
  <si>
    <t>Hacer cruces por provincias de los hogares SIUBEN georreferenciados, con las capas de barrios, manzanas o bloque recibidos por la ONE, (6 técnicos de cartografía, por 60 días)</t>
  </si>
  <si>
    <t>Reproducir y enviar mapas de los shape file a las regionales</t>
  </si>
  <si>
    <t xml:space="preserve">Actualizar las vías, edificaciones y manzanas y puntos de georreferencia en campo interior (11 técnicos) </t>
  </si>
  <si>
    <t>Actualizar  las vías, edificaciones y manzanas y puntos de georreferencia en campo (15 técnicos) Distrito Nacional, Santo Domingo</t>
  </si>
  <si>
    <t>Impresión de Mapas para las Regionales (mapas físicos)</t>
  </si>
  <si>
    <t xml:space="preserve">Mapas (barrios o parajes) </t>
  </si>
  <si>
    <t xml:space="preserve">22.1- Verificar  las vías, edificaciones y manzanas utilizando imagenes satelitales (Google Earth)- Reparación de drones, compra de baterias y compra de memorias sim </t>
  </si>
  <si>
    <t>Drones, Baterias y memorias</t>
  </si>
  <si>
    <t>2.3.9.6.01</t>
  </si>
  <si>
    <t>cantidad</t>
  </si>
  <si>
    <t>22.2- Taller de capacitación  al personal técnico de las oficinas regionales en uso y manejo del Drone (este, distrito, valdesia y santo domingo) - Taller de capacitación  al personal técnico de las oficinas regionales en uso y manejo del Drone (ESTE, VALDESIA,D.N., SANTO DOMINGO)</t>
  </si>
  <si>
    <t>Hospedaje de los técnicos  por 5 días</t>
  </si>
  <si>
    <t>Personas</t>
  </si>
  <si>
    <t>22.1- Verificar  las vías, edificaciones y manzanas utilizando imagenes satelitales (Google Earth) - Alquiler de tres vehiculo  para el proceso de actualización cartográfica</t>
  </si>
  <si>
    <t>Camioneta</t>
  </si>
  <si>
    <t>RD$ 472,500.00 Por favor verificar si se pueden realizar para final de año por la cooperación</t>
  </si>
  <si>
    <t xml:space="preserve">22.1- Verificar  las vías, edificaciones y manzanas utilizando imagenes satelitales (Google Earth) - Mantenimiento de impresora xerox 6705 Wide Format y Ploter HP Designjet Z6200 photo </t>
  </si>
  <si>
    <t>Mantenimiento</t>
  </si>
  <si>
    <t>2.2.7.2.02</t>
  </si>
  <si>
    <t>22.1- Verificar  las vías, edificaciones y manzanas utilizando imagenes satelitales (Google Earth) - Actualizar manzanas con crecimiento de densidad poblacional y cambio de uso de suelo</t>
  </si>
  <si>
    <t>Toner 125A-CB540A</t>
  </si>
  <si>
    <t>RD$ 10,400.00 Por favor verificar si se pueden realizar para final de año por la cooperación</t>
  </si>
  <si>
    <t>Toner 125A-CB541A</t>
  </si>
  <si>
    <t>Toner 125A-CB542A</t>
  </si>
  <si>
    <t>Toner 125A-CB543A</t>
  </si>
  <si>
    <t>Papel Bond 36"x 500"</t>
  </si>
  <si>
    <t>Rollo</t>
  </si>
  <si>
    <t>Papel Bond 24"x 500"</t>
  </si>
  <si>
    <t>Papel Bond 11"x 17"</t>
  </si>
  <si>
    <t>Resma</t>
  </si>
  <si>
    <t>Dry ink. Toner 6204,6705 wide format (006R01238) toner Xerox</t>
  </si>
  <si>
    <t>Toner CE -017A</t>
  </si>
  <si>
    <t>RD$ 25,650.00 Por favor verificar si se pueden realizar para final de año por la cooperación</t>
  </si>
  <si>
    <t>Toner CE -018A</t>
  </si>
  <si>
    <t>Toner CE -019A</t>
  </si>
  <si>
    <t>Toner CE -020A</t>
  </si>
  <si>
    <t>Toner B6Y15A</t>
  </si>
  <si>
    <t>RD$ 34,200.00 Por favor verificar si se pueden realizar para final de año por la cooperación</t>
  </si>
  <si>
    <t>Toner B6Y16A</t>
  </si>
  <si>
    <t>Toner B6Y17A</t>
  </si>
  <si>
    <t>Toner B6Y18A</t>
  </si>
  <si>
    <t>Toner B6Y19A</t>
  </si>
  <si>
    <t>Toner B6Y20A</t>
  </si>
  <si>
    <t>Toner B6Y21A</t>
  </si>
  <si>
    <t>Toner B6Y22A</t>
  </si>
  <si>
    <t>Toner CH644A</t>
  </si>
  <si>
    <t>Sobre Manila 14x17</t>
  </si>
  <si>
    <t>Caja</t>
  </si>
  <si>
    <t>RD$ 8,400.00 Por favor verificar si se pueden realizar para final de año por la cooperación</t>
  </si>
  <si>
    <t>*Horas extras(cena)</t>
  </si>
  <si>
    <t>RD$ 43,800.00 Por favor verificar si se pueden realizar para final de año por la cooperación</t>
  </si>
  <si>
    <t xml:space="preserve">TOTAL DE PRESUPUESTO </t>
  </si>
  <si>
    <t>Gobernanza y fortalecimiento institucional</t>
  </si>
  <si>
    <t>Posicionar al SIUBEN como una entidad clave para la eficientización de la asignación del gasto público y de las políticas del sector social</t>
  </si>
  <si>
    <t>24- Mantenimiento preventivo de infraestructura física, equipamiento y vehículos</t>
  </si>
  <si>
    <t>Porcentaje de cumplimiento de los mantemientos a infraestrucutra física descritos en el plan de mantenimiento, implementado en la sede central y oficinas regionales</t>
  </si>
  <si>
    <t>Bitácora de mantenimientos</t>
  </si>
  <si>
    <t xml:space="preserve">24.1- Realizar  mantenimientos periódicos de la infraestructura del SIUBEN en la Sede Central y las Regionales </t>
  </si>
  <si>
    <t xml:space="preserve">Falta de recursos finacieros </t>
  </si>
  <si>
    <t xml:space="preserve">Porcentaje de cumplimiento de los mantemientos a equipos descritos en el plan de mantenimiento, implementado en la Sede Central y oficinas Regionales  </t>
  </si>
  <si>
    <t xml:space="preserve">24.2- Realizar  mantenimientos periódicos de los equipos del SIUBEN en la Sede Central y las Regionales </t>
  </si>
  <si>
    <t xml:space="preserve">Porcentaje de cumplimiento de los mantemientos a flotilla vehicular descritos en el plan de mantenimiento, implementado en la Sede Central y oficinas Regionales  </t>
  </si>
  <si>
    <t xml:space="preserve">24.3- Realizar mantenimientos periódicos de los vehículos de la institución. </t>
  </si>
  <si>
    <t>25- Inventario de bienes y suministros actualizado</t>
  </si>
  <si>
    <t>Porcentaje de inventarios de bienes suministros realizados</t>
  </si>
  <si>
    <t>Informe de inventario</t>
  </si>
  <si>
    <t>25.1- Realizar los inventarios de bienes y suministros de la institución</t>
  </si>
  <si>
    <t>26- Informes financieros entregados a tiempo</t>
  </si>
  <si>
    <t>Número de informes financieros entregados a tiempo</t>
  </si>
  <si>
    <t>Balance general, nóminas pagadas a colaboradores, ejecución presupuestaria, nota de no donaciones a terceros, inventario de almacén trimestral, relación de cuentas por pagar</t>
  </si>
  <si>
    <t xml:space="preserve">26.1- Generar los informes financieros </t>
  </si>
  <si>
    <t>27- Seguimiento a las Regionales</t>
  </si>
  <si>
    <t>Número de arqueos realizados</t>
  </si>
  <si>
    <t>Arqueos, informes de visitas</t>
  </si>
  <si>
    <t>27.1- Realizar visitas a las Regionales para realización de arqueos e informe semestral</t>
  </si>
  <si>
    <t xml:space="preserve">Falta de vehículo </t>
  </si>
  <si>
    <t>28- Plan anual de compra ejecutado</t>
  </si>
  <si>
    <t>Porcentaje de implementación de PACC</t>
  </si>
  <si>
    <t xml:space="preserve">Informe de procesos publicados  y contratados por trimestre </t>
  </si>
  <si>
    <t>28.1- Realizar los procesos de compras Licitaciones identificados</t>
  </si>
  <si>
    <t>Incumplimiento en las metas institucionales</t>
  </si>
  <si>
    <t>28.2- Realizar los procesos de compras Comparaciones de Compras Identificados</t>
  </si>
  <si>
    <t>28.3- Realizar los procesos de compras Menores Identificados</t>
  </si>
  <si>
    <t>28.4- Realizar los procesos de compras por debajo del Umbral Mínimo Identificados</t>
  </si>
  <si>
    <t xml:space="preserve">Dirección Administrativa Financiera </t>
  </si>
  <si>
    <t>2.2 Posicionar al  SIUBEN  como una entidad clave para la eficientización de  la asignación del gasto público y de las políticas del sector social</t>
  </si>
  <si>
    <t>Pago viáticos</t>
  </si>
  <si>
    <t>Financiero</t>
  </si>
  <si>
    <t>Publicación en periódico</t>
  </si>
  <si>
    <t>2.2.2.1.01</t>
  </si>
  <si>
    <t>Servicio</t>
  </si>
  <si>
    <t>Compras</t>
  </si>
  <si>
    <t>Administrativo</t>
  </si>
  <si>
    <t xml:space="preserve">Servicios de lavanderia </t>
  </si>
  <si>
    <t>2.2.8.5.02</t>
  </si>
  <si>
    <t>Mantenimiento de extintores</t>
  </si>
  <si>
    <t>2.2.9.9.01</t>
  </si>
  <si>
    <t>Cortinas venecianas</t>
  </si>
  <si>
    <t>unidad</t>
  </si>
  <si>
    <t>Mampáras</t>
  </si>
  <si>
    <t>2.3.6.2.01</t>
  </si>
  <si>
    <t>Mantenimiento de depósitos de agua potable</t>
  </si>
  <si>
    <t>2.2.7.2.04</t>
  </si>
  <si>
    <t>Fumigación de Sede central y oficinas Regionales</t>
  </si>
  <si>
    <t>2.2.8.5.01</t>
  </si>
  <si>
    <t xml:space="preserve">Herramientas </t>
  </si>
  <si>
    <t>2.3.9.9.01</t>
  </si>
  <si>
    <t>unidades</t>
  </si>
  <si>
    <t>Pintura</t>
  </si>
  <si>
    <t>Mobiliario</t>
  </si>
  <si>
    <t>2.6.1.1.01</t>
  </si>
  <si>
    <t>Señalización</t>
  </si>
  <si>
    <t>Reparaciones menores</t>
  </si>
  <si>
    <t>2.2.7.2.01</t>
  </si>
  <si>
    <t>Servicio de jardinería</t>
  </si>
  <si>
    <t>Servico</t>
  </si>
  <si>
    <t>Mantenimiento de Ascensor</t>
  </si>
  <si>
    <t xml:space="preserve">Pulido de Piso  y limpieza de alfombra </t>
  </si>
  <si>
    <t>Baterías vehículo</t>
  </si>
  <si>
    <t>2.2.7.2.06</t>
  </si>
  <si>
    <t>Gomas motor</t>
  </si>
  <si>
    <t>Gomas vehículo</t>
  </si>
  <si>
    <t>Accesorios vehículo</t>
  </si>
  <si>
    <t>Contratación de servicio de mantenimiento preventivo y correctivo de vehículos y motores</t>
  </si>
  <si>
    <t xml:space="preserve">Mantenimiento de generadores eléctricos </t>
  </si>
  <si>
    <t>Electrodomésticos</t>
  </si>
  <si>
    <t>2.6.1.4.01</t>
  </si>
  <si>
    <t>Mantenimiento banco de transformadores y sistema de tensión media</t>
  </si>
  <si>
    <t>Mantenimiento UPS</t>
  </si>
  <si>
    <t>Baterías inversor</t>
  </si>
  <si>
    <t>Baterías planta eléctrica</t>
  </si>
  <si>
    <t>Mantenimiento de Aire Acondicionado</t>
  </si>
  <si>
    <t>Sitema de control de acceso</t>
  </si>
  <si>
    <t>Sistemas de alarma</t>
  </si>
  <si>
    <t>2.2.9.1.01</t>
  </si>
  <si>
    <t>Fortalecimiento Institucional</t>
  </si>
  <si>
    <t>Suministro Almacén</t>
  </si>
  <si>
    <t>Matarial Gastable</t>
  </si>
  <si>
    <t>Matarial de limpieza</t>
  </si>
  <si>
    <t>Operatividad</t>
  </si>
  <si>
    <t>Utensilios cocina</t>
  </si>
  <si>
    <t>2.3.9.5.01</t>
  </si>
  <si>
    <t>Combustible</t>
  </si>
  <si>
    <t>Banderas nacionales e Institucionales</t>
  </si>
  <si>
    <t>Agua para consumo Humano</t>
  </si>
  <si>
    <t>2.3.1.1.01</t>
  </si>
  <si>
    <t>Uniformes</t>
  </si>
  <si>
    <t>2.3.2.3.01</t>
  </si>
  <si>
    <t>Compra de vehículos</t>
  </si>
  <si>
    <t>2.6.4.1.01</t>
  </si>
  <si>
    <t>Toner</t>
  </si>
  <si>
    <t>Alquiler Impresoras</t>
  </si>
  <si>
    <t>Plan de emergencia y Seguridad</t>
  </si>
  <si>
    <t>Sistema detección de humo</t>
  </si>
  <si>
    <t>Sistema detetección  de armas</t>
  </si>
  <si>
    <t xml:space="preserve">Gisselle Feliz </t>
  </si>
  <si>
    <t>Susana Doñé Corporán</t>
  </si>
  <si>
    <t>Jefrey Lizardo Ortiz</t>
  </si>
  <si>
    <t>Encargada Administrativa y Financiera</t>
  </si>
  <si>
    <t>Encargada de Planificación y Desarrollo</t>
  </si>
  <si>
    <t>Director General</t>
  </si>
  <si>
    <t>Notas:</t>
  </si>
  <si>
    <t>Los sombreados en amarillo es que el monto sufrio incremento</t>
  </si>
  <si>
    <t>Los sombreados en verde son nuevos para el 2023</t>
  </si>
  <si>
    <t>Comunicaciones</t>
  </si>
  <si>
    <t xml:space="preserve">2. Fortalecimiento Institucional </t>
  </si>
  <si>
    <t>2.2 Posicionar al SIUBEN como una entidad clave para la eficientización de la asignación del gasto público y de las políticas del sector social</t>
  </si>
  <si>
    <t xml:space="preserve">29- Estrategia de difusión institucional implementada </t>
  </si>
  <si>
    <t xml:space="preserve">Porcentaje de solicitudes de comunicación requeridas  tramitadas. </t>
  </si>
  <si>
    <t>Ejemplar de notas de prensa solicitadas, redactadas y enviadas.</t>
  </si>
  <si>
    <t>Que no se realice ninguna nota de prensa</t>
  </si>
  <si>
    <t>Porcentajes de eventos apoyados</t>
  </si>
  <si>
    <t xml:space="preserve">Listado de asistencia, fotos del seminario, </t>
  </si>
  <si>
    <t>29.2- Apoyar a los seminarios Siuben+ de manera oportuna</t>
  </si>
  <si>
    <t xml:space="preserve">no se realicen los seminarios </t>
  </si>
  <si>
    <t>Cantidad de encuentros realizados</t>
  </si>
  <si>
    <t>Solicitudes de los encuentros enviados por correo, solicitudes de insumos</t>
  </si>
  <si>
    <t>29.3- Realizar encuentros con periodistas</t>
  </si>
  <si>
    <t>Que no se realice ningún encuentro</t>
  </si>
  <si>
    <t>Cantidad de videos publicados en plataforma</t>
  </si>
  <si>
    <t>Links de videos y correos de solicitudes</t>
  </si>
  <si>
    <t>29.4- Producir el material videográfico para el canal de YouTube</t>
  </si>
  <si>
    <t>No halla insumos para crear los videos</t>
  </si>
  <si>
    <t>Porcentaje de los encuentros y/o actividades realizadas por la dirección general</t>
  </si>
  <si>
    <t>Correos de solicitudes de insumos</t>
  </si>
  <si>
    <t>29.5- Coordinar los encuentros y/o actividades de dirección general</t>
  </si>
  <si>
    <t xml:space="preserve">que no halla actividades programadas en la dirección </t>
  </si>
  <si>
    <t xml:space="preserve">Número de publicaciones realizadas en las redes sociales </t>
  </si>
  <si>
    <t xml:space="preserve">Registro de publicaciones en las redes sociales </t>
  </si>
  <si>
    <t xml:space="preserve">29.6- Difundir de manera oportuna las efemérides relacionadas con la institución </t>
  </si>
  <si>
    <t xml:space="preserve">No se puedan producir los insumos gráficos de ese mes </t>
  </si>
  <si>
    <t>Atención a los requerimientos comunicacionales de las áreas</t>
  </si>
  <si>
    <t xml:space="preserve">Publicaciones externas realizadas </t>
  </si>
  <si>
    <t xml:space="preserve">29.7- Producir los materiales digitales para publicaciones externas </t>
  </si>
  <si>
    <t xml:space="preserve">No halllan solicitudes de piezas </t>
  </si>
  <si>
    <t xml:space="preserve">Número de comunicaciones externas publicadas sobre posición institucional referente a  igualdad de género y Derechos de la Mujer </t>
  </si>
  <si>
    <t xml:space="preserve">29.8- Difundir comunicación insititucional Externa sobre igualdad de género y Derecho de la Mujer </t>
  </si>
  <si>
    <t xml:space="preserve">30- Comunicación interna fortalecida </t>
  </si>
  <si>
    <t xml:space="preserve">Número de actualizaciones realizadas en los murales </t>
  </si>
  <si>
    <t xml:space="preserve">Imágenes de los murales actualizados </t>
  </si>
  <si>
    <t xml:space="preserve">30.1- Actualizar los murales institucionales </t>
  </si>
  <si>
    <t>No halla información para actualizar</t>
  </si>
  <si>
    <t xml:space="preserve">Boletines de noticias Siuben </t>
  </si>
  <si>
    <t xml:space="preserve">Documento digital </t>
  </si>
  <si>
    <t>30.2- Publicar los Boletines de noticias Siuben de manera digital, trimestral</t>
  </si>
  <si>
    <t xml:space="preserve">No se tengas los insumos suficientes para realizar la publicación </t>
  </si>
  <si>
    <t>Murales institucionales digitales</t>
  </si>
  <si>
    <t>Documento digital</t>
  </si>
  <si>
    <t>30.3- Publicar de manera digital el mural institucional, trimestral</t>
  </si>
  <si>
    <t xml:space="preserve">Intranet actualizada </t>
  </si>
  <si>
    <t>Correos de solicitudes, print screen de la nueva intranet</t>
  </si>
  <si>
    <t>30.4- Rediseñar la intranet institucional</t>
  </si>
  <si>
    <t xml:space="preserve">No se pueda contratar el personal que hará la actualización </t>
  </si>
  <si>
    <t xml:space="preserve">Número de comunicaciones internas publicadas sobre posición institucional referente a igualdad de género y Derechos de la Mujer </t>
  </si>
  <si>
    <t xml:space="preserve">Publicaciones internas realizadas </t>
  </si>
  <si>
    <t>30.5- Difundir comunicación institucional interna sobre igualdad de género y derecho de la mujer</t>
  </si>
  <si>
    <t>Número de comunicaciones internas publicadas sobre madurez institucional referentes a los sellos en los cuales se esta certificado.</t>
  </si>
  <si>
    <t>30.6- Difundir comunicación institucional externa sobre los sellos del SGI o campaña de comunicación externa en base a los sellos de SGI</t>
  </si>
  <si>
    <t>Publicaciones internas realizadas</t>
  </si>
  <si>
    <t xml:space="preserve">30.7- Producir los materiales digitales para publicaciones internas </t>
  </si>
  <si>
    <t>No halla solicitudes generadas</t>
  </si>
  <si>
    <t>31- Publicaciones del SIUBEN realizadas</t>
  </si>
  <si>
    <t xml:space="preserve">No. de publicaciones realizadas </t>
  </si>
  <si>
    <t>Documento impreso y digital</t>
  </si>
  <si>
    <t>31.1- Publicar la memoria institucional 2022/2023</t>
  </si>
  <si>
    <t xml:space="preserve">No obtener el insumo a tiempo </t>
  </si>
  <si>
    <t>32- Apoyo en la logística de los encuentros interinstitucionales  internos y externo</t>
  </si>
  <si>
    <t>Listado de asistencia, fotos del convenio</t>
  </si>
  <si>
    <t xml:space="preserve">32.1- Coordinar y apoyar los convenios interinstitucionales </t>
  </si>
  <si>
    <t xml:space="preserve">Que no se realicen los encuentros </t>
  </si>
  <si>
    <t>Porcentaje de eventos apoyados</t>
  </si>
  <si>
    <t xml:space="preserve">Registro de asistencia del encuentro, fotos del encuentro </t>
  </si>
  <si>
    <t xml:space="preserve">32.2- Coordinar y apoyar la logística de los encuentros interinstitucionales </t>
  </si>
  <si>
    <t>33- Levantamiento 4.0</t>
  </si>
  <si>
    <t>Campaña para difusión del levantamiento</t>
  </si>
  <si>
    <t>Correos de solicitudes, artes diseñados, medios de difusión utilizados</t>
  </si>
  <si>
    <t>33.1- Elaborar y difundir campaña de comunicación y apoyar todos los requerimientos comunicacionales para el levantamiento</t>
  </si>
  <si>
    <t>Que no se realice el levantamiento</t>
  </si>
  <si>
    <t>34- Aniversario Siuben</t>
  </si>
  <si>
    <t>Campaña de comunicación implementada</t>
  </si>
  <si>
    <t xml:space="preserve">campaña de comunicación </t>
  </si>
  <si>
    <t xml:space="preserve">34.1- Elaborar y Difundir la campaña de comunicación del aniversario </t>
  </si>
  <si>
    <t>No tener los insumos necesarios</t>
  </si>
  <si>
    <t xml:space="preserve">35- Implementación del Plan de Comunicación Interna y Externa  </t>
  </si>
  <si>
    <t>Plan de comunicación elaborado</t>
  </si>
  <si>
    <t>Plan de comunicación</t>
  </si>
  <si>
    <t xml:space="preserve">35.1- Implementar el Plan de Comunicación con enfoque inclusivo y no sexista </t>
  </si>
  <si>
    <t>No tener el plan completo</t>
  </si>
  <si>
    <t>36- Implementación de estrategia de comunicación proyecto del BID inmigrantes</t>
  </si>
  <si>
    <t xml:space="preserve">36.1- Elaborar la estrategia de comunicación del proyeco de inmigrantes </t>
  </si>
  <si>
    <t>2. Fortalecimiento Institucional</t>
  </si>
  <si>
    <t>Refrigerio</t>
  </si>
  <si>
    <t>Cantidad de encuentros</t>
  </si>
  <si>
    <t xml:space="preserve">Unidad </t>
  </si>
  <si>
    <t>Por seminario realizado</t>
  </si>
  <si>
    <t xml:space="preserve">Página de descarga de imágenes </t>
  </si>
  <si>
    <t>2.2.5.9.01</t>
  </si>
  <si>
    <t>us$100</t>
  </si>
  <si>
    <t>Transporte</t>
  </si>
  <si>
    <t>2.2.4.1.01</t>
  </si>
  <si>
    <t>Víaticos</t>
  </si>
  <si>
    <t xml:space="preserve">Por encuentro realizado </t>
  </si>
  <si>
    <t>Alquiler de sillas, mesas, sonido</t>
  </si>
  <si>
    <t>2.2.5.3.04</t>
  </si>
  <si>
    <t>Actividades</t>
  </si>
  <si>
    <t xml:space="preserve">Nuevos murales en acrílicos </t>
  </si>
  <si>
    <t>Cartulinas</t>
  </si>
  <si>
    <t>2.3.3.2.01</t>
  </si>
  <si>
    <t>Adornos variados para días conmemorativos (carnaval/navidad/san valentin)</t>
  </si>
  <si>
    <t xml:space="preserve">Estuches </t>
  </si>
  <si>
    <t xml:space="preserve">Marcadores varios </t>
  </si>
  <si>
    <t>Cajas</t>
  </si>
  <si>
    <t>Papel bond satinado</t>
  </si>
  <si>
    <t>Resmas</t>
  </si>
  <si>
    <t>Crayones</t>
  </si>
  <si>
    <t xml:space="preserve">Cinta decorativa varias </t>
  </si>
  <si>
    <t>Yardas</t>
  </si>
  <si>
    <t>Cartonite</t>
  </si>
  <si>
    <t>Opalina</t>
  </si>
  <si>
    <t>Foami</t>
  </si>
  <si>
    <t>Paquete</t>
  </si>
  <si>
    <t>Tape doble cara</t>
  </si>
  <si>
    <t>Velas de silicón</t>
  </si>
  <si>
    <t xml:space="preserve">Pistola de silicón </t>
  </si>
  <si>
    <t xml:space="preserve">Tachuelas para murales </t>
  </si>
  <si>
    <t xml:space="preserve">Contratación de consultoria </t>
  </si>
  <si>
    <t>Impresión</t>
  </si>
  <si>
    <t>Ejemplares</t>
  </si>
  <si>
    <t>32.1- Coordinar y apoyar los convenios interinstitucionales</t>
  </si>
  <si>
    <t>Flash para cámara</t>
  </si>
  <si>
    <t xml:space="preserve">Actividad </t>
  </si>
  <si>
    <t xml:space="preserve">Por actividad </t>
  </si>
  <si>
    <t>Lanzamiento SIUBEN+</t>
  </si>
  <si>
    <t>Folders de bolsillo</t>
  </si>
  <si>
    <t>Bolsas de papel</t>
  </si>
  <si>
    <t xml:space="preserve">Brochures </t>
  </si>
  <si>
    <t xml:space="preserve">Afiches </t>
  </si>
  <si>
    <t xml:space="preserve">Banner </t>
  </si>
  <si>
    <t>Libretas ecologicas</t>
  </si>
  <si>
    <t>Libretas de notas</t>
  </si>
  <si>
    <t>Lapiceros</t>
  </si>
  <si>
    <t>Termos</t>
  </si>
  <si>
    <t>Forlders</t>
  </si>
  <si>
    <t xml:space="preserve">Ambientación del lugar </t>
  </si>
  <si>
    <t>Actividad</t>
  </si>
  <si>
    <t xml:space="preserve">Alquiler y compra de artículos para la actividad </t>
  </si>
  <si>
    <t>Arreglos de flores</t>
  </si>
  <si>
    <t>2.3.1.3.03</t>
  </si>
  <si>
    <t xml:space="preserve">Persona </t>
  </si>
  <si>
    <t>Por definir cooperación</t>
  </si>
  <si>
    <t>Campaña de comunicación en radio y television</t>
  </si>
  <si>
    <t>Contratación de servicio</t>
  </si>
  <si>
    <t>Banners</t>
  </si>
  <si>
    <t>ejemplares</t>
  </si>
  <si>
    <t>Impresiones digitales</t>
  </si>
  <si>
    <t>Estrategía</t>
  </si>
  <si>
    <t>Implementación de la estratía</t>
  </si>
  <si>
    <t>Presupuesto Total RD$</t>
  </si>
  <si>
    <t>29.2- Apoyar a los seminarios SIUBEN+ de manera oportuna</t>
  </si>
  <si>
    <t>29.1- Difundir de manera oportuna las notas de prensa generadas en SIUBEN</t>
  </si>
  <si>
    <t>Calidad en la Gestión (SGI)</t>
  </si>
  <si>
    <t>Eje Estrategico 2: Gobernanza y Fortalecimiento Institucional</t>
  </si>
  <si>
    <t>Fortalecer el Marco legal, normativo y funcional del SIUBEN</t>
  </si>
  <si>
    <t>Mejorar continuamente el desempeño de los procesos  - Estandarización de los procesos</t>
  </si>
  <si>
    <t>37- Programa anual de auditorías al Sistema de Gestión Integrado ejecutado.</t>
  </si>
  <si>
    <t>Número de auditorías realizadas</t>
  </si>
  <si>
    <t>Informe de Auditoría Interna</t>
  </si>
  <si>
    <t>37.1- Realizar auditoría Interna de las normas ISO 9001:2015 Sistema de Gestión de la Calidad, ISO 27001:2013 e ISO 22301:2019 a todo el alcance declarado</t>
  </si>
  <si>
    <t>1. Cambio de fecha planificada por disposición de la Alta Dirección
2. No Disponibilidad de Fondos
3. Respuesta tardía de las áreas con hallazgos de auditoría</t>
  </si>
  <si>
    <t>Informe de Auditoría Externa</t>
  </si>
  <si>
    <t>37.2- Coordinar auditoría externa con el ente certificador a las normas: ISO 9001:2015,  ISO 27001:2013 e ISO 22301:2019 (seguimiento)</t>
  </si>
  <si>
    <t xml:space="preserve">Porcentaje de implementación del plan de acción </t>
  </si>
  <si>
    <t xml:space="preserve">1- Reporte de Control y Seguimiento de Acciones Correctivas 
2- Formulario Solicitud de Acción Correctiva </t>
  </si>
  <si>
    <t>37.3- Gestionar planes de acción y solicitudes de acciones correctivas producto de la Auditoría Externa de seguimiento</t>
  </si>
  <si>
    <t>38- Evaluaciones de riesgos de los procesos de la ISO 9001:2015</t>
  </si>
  <si>
    <t xml:space="preserve">Número de jordanas de evaluaciones realizadas </t>
  </si>
  <si>
    <t>Matríz de seguimiento de riesgos y oportunidades de los procesos</t>
  </si>
  <si>
    <t xml:space="preserve">38.1- Revisión de los riesgos de los procesos (acciones para abordar riesgos y oportunidades) </t>
  </si>
  <si>
    <t>No disponibilidad de los involucrados en las áreas para realizar las evaluaciones</t>
  </si>
  <si>
    <t>39- Evaluaciones de riesgos de los activos de la información de la ISO 27001:2013</t>
  </si>
  <si>
    <t>Número de jordanas de evaluaciones realizadas</t>
  </si>
  <si>
    <t>Matríz de seguimiento de riesgos de los activos de información</t>
  </si>
  <si>
    <t>39.1- Realizar las evaluaciones de riesgos a los activos de información de los procesos incluidos en el alcance del Sistema de Gestión de Seguridad de la Información (SGSI)</t>
  </si>
  <si>
    <t>40- Marco Común de Evaluación (CAF) implmentado.</t>
  </si>
  <si>
    <t xml:space="preserve">Autodiagnóstico realizado </t>
  </si>
  <si>
    <t>Guía de Autodiagnóstico CAF</t>
  </si>
  <si>
    <t>40.1- Realizar el autodiagnóstico del Modelo en el SIUBEN e Informe de Autoevaluación</t>
  </si>
  <si>
    <t> </t>
  </si>
  <si>
    <t>Retraso en la autoevaluación de los departamentos involucrados</t>
  </si>
  <si>
    <t xml:space="preserve">Plan de Mejora elaborado </t>
  </si>
  <si>
    <t>Plan de mejora del CAF</t>
  </si>
  <si>
    <t>40.2- Elaborar Plan de Mejora del CAF</t>
  </si>
  <si>
    <t>Retraso en los reportes del plan de los departamentos involucrados</t>
  </si>
  <si>
    <t xml:space="preserve">41- Actualización y creacción de Documentos Controlados </t>
  </si>
  <si>
    <t>Porcentaje de Documentos actualizados/ creados</t>
  </si>
  <si>
    <t>Solicitud de creaccion y/o actualización de documentos</t>
  </si>
  <si>
    <t>41.1- Redactar los documentos solicitados y oficializar estos en el sistema de SGCS</t>
  </si>
  <si>
    <t>Retraso en la publicación y distribución de los documentos del sistema</t>
  </si>
  <si>
    <t xml:space="preserve">42- Cumplimiento Legal insitucional monitoreado. </t>
  </si>
  <si>
    <t>Número de evaluaciones sobre legislaciones aplicadas</t>
  </si>
  <si>
    <t>Matríz de legislacion aplicable al SIUBEN</t>
  </si>
  <si>
    <t>42.1- Elaborar y difundir la matriz del Cumplimiento Legal</t>
  </si>
  <si>
    <t>No disponibilidad del personal involucrado</t>
  </si>
  <si>
    <t>43- Mantenimiento y Fortalecimiento del Plan de Continuidad de Negocios (ISO22301)</t>
  </si>
  <si>
    <t>Prueba de escritorio y funcional del Plan de Continuidad de Negocio</t>
  </si>
  <si>
    <t>Informe de pruebas con los resultados (recomendaciones para implementar mejoras)</t>
  </si>
  <si>
    <t>43.1- Ejecución de los programas de ejercicios para validar la efectividad de las estrategias y soluciones de la continuidad de negocio</t>
  </si>
  <si>
    <t xml:space="preserve">44- Seguimiento y monitoreo a los resultados de los indicadores de servicios comprometidos en la Carta Compromiso </t>
  </si>
  <si>
    <t>Cantidad de requerimientos en el plazo establecido</t>
  </si>
  <si>
    <t>Informe trimestral de avances de indicadores del sistema de gestión</t>
  </si>
  <si>
    <t>44.1- Redacción del informe trimestral de avances de indicadores del sistema de gestión</t>
  </si>
  <si>
    <t>Retraso en la elaboración del informe trimestral de avances de indicadores del sistema de gestión</t>
  </si>
  <si>
    <t>45- Normas Básicas de Control Interno (NOBACI) gestionada e implementada</t>
  </si>
  <si>
    <t>Porcentaje de implementación de la NOBACI</t>
  </si>
  <si>
    <t>Informe de la NOBACI</t>
  </si>
  <si>
    <t>45.1- Completar el autodiagnóstico de las normas de control interno</t>
  </si>
  <si>
    <t xml:space="preserve">Falta de seguimiento y falta de apoyo de las autoridades </t>
  </si>
  <si>
    <t>46- Encuesta de Satisfacción de los Servicios Públicos a Usuarios/as Institucionales MAP</t>
  </si>
  <si>
    <t>Porcentaje de implementación de la encuesta de satisfacción</t>
  </si>
  <si>
    <t>Informe de la Encuesta MAP</t>
  </si>
  <si>
    <t>46.1- Realizar la Encuesta de Satisfacción de los Servicios Públicos a Usuarios/as Institucionales</t>
  </si>
  <si>
    <t>Encuestas no completadas en el tiempo estipulado</t>
  </si>
  <si>
    <t>47- Evaluación Anual Carta Compromiso al Ciudadano</t>
  </si>
  <si>
    <t>Porcentaje obtenido en la evaluación de la CC</t>
  </si>
  <si>
    <t>Informe de Evaluación anual</t>
  </si>
  <si>
    <t>47.1- Evaluar los resultados de los servicios comprometidos en la Carta Compromiso</t>
  </si>
  <si>
    <t>48- Sistematización del proceso para la valoración de los riesgos y oportunidades del Sistema de Gestión Integrado</t>
  </si>
  <si>
    <t xml:space="preserve">Porcentaje de data (riesgos) cargada al sistema </t>
  </si>
  <si>
    <t>Módulo para la gestión de Riesgos</t>
  </si>
  <si>
    <t>48.1- Integración de la data existente al módulo y actualización de la misma</t>
  </si>
  <si>
    <t>No completar la carga de información en el tiempo establecido</t>
  </si>
  <si>
    <t xml:space="preserve">Eje Estrategico 2: Gobernanza y Fortalecimiento Institucional </t>
  </si>
  <si>
    <t>Viaticos
Hospedaje</t>
  </si>
  <si>
    <t>persona</t>
  </si>
  <si>
    <t>-</t>
  </si>
  <si>
    <t>Servicios Tecnicos</t>
  </si>
  <si>
    <t>(US$28,000.00)</t>
  </si>
  <si>
    <t>Almuerzo</t>
  </si>
  <si>
    <t xml:space="preserve">TOTAL </t>
  </si>
  <si>
    <t xml:space="preserve">DEPARTAMENTO DE PLANIFICACIÓN Y DESARROLLO </t>
  </si>
  <si>
    <t>Recursos Humanos</t>
  </si>
  <si>
    <t xml:space="preserve">EJE ESTRATÉGICO </t>
  </si>
  <si>
    <t xml:space="preserve">OBJETIVO ESTRATÉGICO </t>
  </si>
  <si>
    <t xml:space="preserve">Meta Física </t>
  </si>
  <si>
    <t>49- Planes de capacitación y sensibilización ejecutados  (competencias y género)</t>
  </si>
  <si>
    <t>Plan elaborado</t>
  </si>
  <si>
    <t xml:space="preserve">Ejemplar del plan </t>
  </si>
  <si>
    <t>Disponibilidad de Recursos e Inasistencia del personal</t>
  </si>
  <si>
    <t xml:space="preserve">Porcentaje de ejecución del plan </t>
  </si>
  <si>
    <t>Informe trimestral de indicadores de capacitación</t>
  </si>
  <si>
    <t>49.2- Implementar el plan de capacitación 2023</t>
  </si>
  <si>
    <t>Falta de respuesta oportuna</t>
  </si>
  <si>
    <t>Informe trimestral</t>
  </si>
  <si>
    <t>Plan piloto realizado</t>
  </si>
  <si>
    <t>Informe realizado</t>
  </si>
  <si>
    <t>Plan de acción realizado</t>
  </si>
  <si>
    <t>Programa ejecutado</t>
  </si>
  <si>
    <t>Programa diseñado</t>
  </si>
  <si>
    <t>Proceso de implementación establecido</t>
  </si>
  <si>
    <t>Proveedor contratado</t>
  </si>
  <si>
    <t>Piloto realizado</t>
  </si>
  <si>
    <t>Capacitación ejecutada</t>
  </si>
  <si>
    <t xml:space="preserve">52- Implementación del plan de acción de Clima Institucional </t>
  </si>
  <si>
    <t>Porcentaje de satisfacción con el clima laboral en la Institución</t>
  </si>
  <si>
    <t>Informe de encuesta de clima</t>
  </si>
  <si>
    <t>52.1- Ejecución del plan de acción sobre las áreas a fortalecer</t>
  </si>
  <si>
    <t xml:space="preserve">Disponiblidad prespuestaria para implementar las mejoras </t>
  </si>
  <si>
    <t>53- Evaluación de desempeño</t>
  </si>
  <si>
    <t>Porcentaje de colaboradores con acuerdos de desempeño realizados</t>
  </si>
  <si>
    <t>Matriz de acuerdos realizados por área</t>
  </si>
  <si>
    <t>Porcentaje de nuevos colaboradores y cambios de designaciones con acuerdos de desempeño realizado</t>
  </si>
  <si>
    <t xml:space="preserve">Porcentaje de colaboradores evaluados </t>
  </si>
  <si>
    <t>Informe de resultados de evaluación de desempeño</t>
  </si>
  <si>
    <t>53.3- Dar seguimiento a los supervisores para completar las evaluaciones del desempeño del personal</t>
  </si>
  <si>
    <t>54- Beneficios e incentivos al personal</t>
  </si>
  <si>
    <t>Pocentaje de reconocimientos realizados entre los reconocimientos programados</t>
  </si>
  <si>
    <t>Listado de reconocidos</t>
  </si>
  <si>
    <t xml:space="preserve">54.1- Dar Reconocimiento a colaboradores/ras y gerencia del trimestre </t>
  </si>
  <si>
    <t>Porcentaje de jornadas realizadas entre las programadas</t>
  </si>
  <si>
    <t>Invitacion a las jornadas</t>
  </si>
  <si>
    <t>54.2- Coordinar las jornadas de salud</t>
  </si>
  <si>
    <t>55- Programa anual de comunicación interna e integración ejecutado a nivel nacional</t>
  </si>
  <si>
    <t>Porcentaje de actividades realizadas de las programadas</t>
  </si>
  <si>
    <t>Matriz de reporte de actividades programadas</t>
  </si>
  <si>
    <t>55.2- Día de las secretarias</t>
  </si>
  <si>
    <t>55.3- Día de las madres</t>
  </si>
  <si>
    <t>55.4- Día de los padres</t>
  </si>
  <si>
    <t>55.8- Inauguración de la navidad</t>
  </si>
  <si>
    <t>Banco de elegible personal de campo.</t>
  </si>
  <si>
    <t>Informe con las prácticas, técnicas, procesos de empresas con las que se realizo el benchmarking.</t>
  </si>
  <si>
    <t xml:space="preserve">Acta de reunión con acuerdos </t>
  </si>
  <si>
    <t xml:space="preserve">Matriz de personal de campo </t>
  </si>
  <si>
    <t xml:space="preserve">TOTAL PRESUPUESTADO </t>
  </si>
  <si>
    <t xml:space="preserve">Costo Unitario </t>
  </si>
  <si>
    <t>Servicios de capacitación</t>
  </si>
  <si>
    <t>2.2.8.7.04</t>
  </si>
  <si>
    <t>Varias</t>
  </si>
  <si>
    <t>Según plan</t>
  </si>
  <si>
    <t>Refrigerios y almuerzos</t>
  </si>
  <si>
    <t xml:space="preserve">Refrigerio </t>
  </si>
  <si>
    <t>Incentivo por rendimiento individual</t>
  </si>
  <si>
    <t>Pesos</t>
  </si>
  <si>
    <t>Premios a los colaboradores reconocidos</t>
  </si>
  <si>
    <t>Pines</t>
  </si>
  <si>
    <t>Placas de reconocimiento</t>
  </si>
  <si>
    <t>Insumos varios según la jornada</t>
  </si>
  <si>
    <t>Agendas de trabajo</t>
  </si>
  <si>
    <t xml:space="preserve">Certificados </t>
  </si>
  <si>
    <t>Rosas decoradas</t>
  </si>
  <si>
    <t xml:space="preserve">Decoración de stand de fotos </t>
  </si>
  <si>
    <t>Servicios de impresión</t>
  </si>
  <si>
    <t>Picadera Inauguración</t>
  </si>
  <si>
    <t xml:space="preserve">Picadera </t>
  </si>
  <si>
    <t xml:space="preserve">Decoración  </t>
  </si>
  <si>
    <t xml:space="preserve">Almuerzo </t>
  </si>
  <si>
    <t>Materiales para actividades</t>
  </si>
  <si>
    <t xml:space="preserve">Uniforme   </t>
  </si>
  <si>
    <t xml:space="preserve">Desayuno </t>
  </si>
  <si>
    <t xml:space="preserve">Empacado </t>
  </si>
  <si>
    <t xml:space="preserve">Chocolate </t>
  </si>
  <si>
    <t>Gastos recurrentes de Recursos Humanos</t>
  </si>
  <si>
    <t xml:space="preserve">Partida presupuestaria </t>
  </si>
  <si>
    <t>Fondo reponible</t>
  </si>
  <si>
    <t xml:space="preserve">Arreglos florales en caso de fallecimiento de familiares directos, hospitalizacion y ofrendas </t>
  </si>
  <si>
    <t>Según necesidad</t>
  </si>
  <si>
    <t>Decoraciones para cumpleaños y otras actividades</t>
  </si>
  <si>
    <t>varios</t>
  </si>
  <si>
    <t>Servicios de impresion de carnets</t>
  </si>
  <si>
    <t>Cintas para carnet</t>
  </si>
  <si>
    <t>Pruebas psicométricas</t>
  </si>
  <si>
    <t xml:space="preserve">Seguro de Vida para todo el personal </t>
  </si>
  <si>
    <t>Fondo Gobierno / libramiento</t>
  </si>
  <si>
    <t xml:space="preserve">Planes Complementarios para los colaboradores </t>
  </si>
  <si>
    <t>Planes de salud personal PNUD</t>
  </si>
  <si>
    <t>Almuerzos subsidiados</t>
  </si>
  <si>
    <t>TOTAL  PRESUPUESTADO</t>
  </si>
  <si>
    <t>Bono de RD$ 12,000,000.00 contemplado en la carga fija</t>
  </si>
  <si>
    <t xml:space="preserve">Se van a buscar capacitaciones por la cooperación </t>
  </si>
  <si>
    <t>Tecnología</t>
  </si>
  <si>
    <t>1.1 Crear el Registro Social Universal (RSU) y el Registro Único de Beneficiarios (RUB), enfocando sus funcionalidades a los requerimientos de información y análisis de las políticas sociales nacional y local</t>
  </si>
  <si>
    <t>Porcentaje de Implementación del DataWareHouse</t>
  </si>
  <si>
    <t xml:space="preserve">Data Warehouse </t>
  </si>
  <si>
    <t xml:space="preserve">Porcentaje </t>
  </si>
  <si>
    <t>Falta de recursos económicos</t>
  </si>
  <si>
    <t xml:space="preserve">Porcentaje de implementación del sistema </t>
  </si>
  <si>
    <t>Sistema Operando</t>
  </si>
  <si>
    <t xml:space="preserve">Falta de recursos económicos y falta de disponibilidad del personal clave asignado </t>
  </si>
  <si>
    <t>Plataforma Operando</t>
  </si>
  <si>
    <t xml:space="preserve">Falta de recursos económico, falta de disponibilidad del personal clave asignado </t>
  </si>
  <si>
    <t>Porcentaje de implementación del portal</t>
  </si>
  <si>
    <t xml:space="preserve">Portal operando </t>
  </si>
  <si>
    <t>Falta de Recursos económicos, atraso en la contratación del consultor</t>
  </si>
  <si>
    <t>Número de Procesos automatizados</t>
  </si>
  <si>
    <t xml:space="preserve">Modulo Operando </t>
  </si>
  <si>
    <t>Procesos automatizados Operando</t>
  </si>
  <si>
    <t>Porcentaje de actualización de la infraestructura tecnologica del SIUBEN</t>
  </si>
  <si>
    <t xml:space="preserve">Informe de Ejecución Mantenimiento </t>
  </si>
  <si>
    <t>Falta de recuesos económicos</t>
  </si>
  <si>
    <t>Porcentaje de ejecución del cronograma</t>
  </si>
  <si>
    <t>Orden de Compras de los Servicios solicitados</t>
  </si>
  <si>
    <t>Falta de recursos económicos y atraso en la entrega del servicio contrarado</t>
  </si>
  <si>
    <t xml:space="preserve">Número de Recertificaciones obtenidas </t>
  </si>
  <si>
    <t>Certificaciones OPTIC</t>
  </si>
  <si>
    <t>Falta de seguimiento y  atraso en la asignacion de auditor por parte de la OGTIC</t>
  </si>
  <si>
    <t>Instalación de Plataforma</t>
  </si>
  <si>
    <t xml:space="preserve">Falta de recursos económicos y  atraso en la adquisión de los equipos </t>
  </si>
  <si>
    <t>Interoperabilidad Operando</t>
  </si>
  <si>
    <t xml:space="preserve">Falta de recursos económico y falta de disponibilidad del personal clave asignado </t>
  </si>
  <si>
    <t>Porcentaje de implementacion de interoperabilidad</t>
  </si>
  <si>
    <t>Dashboards y webmapping Operando</t>
  </si>
  <si>
    <t>Número de Intituciones interoperando</t>
  </si>
  <si>
    <t xml:space="preserve">Registros compartidos con las instituciones </t>
  </si>
  <si>
    <t xml:space="preserve">Falta de disponibilidad del personal clave asignado </t>
  </si>
  <si>
    <t>Dirección de Tecnología de la Información y Comunicación</t>
  </si>
  <si>
    <t xml:space="preserve">Banco Mundial </t>
  </si>
  <si>
    <t>Servidores para infraestructura de explotación con su licencia de Windows</t>
  </si>
  <si>
    <t xml:space="preserve">Contratación de consultaria para Desarrollar e implementar Portal de Información de Proteccion social </t>
  </si>
  <si>
    <t>Cooperación Francesa</t>
  </si>
  <si>
    <t>Pago de Viaticos a Personal TIC</t>
  </si>
  <si>
    <t xml:space="preserve">Alquiler de Vehiculo </t>
  </si>
  <si>
    <t>Solicitud</t>
  </si>
  <si>
    <t xml:space="preserve">Viaticos </t>
  </si>
  <si>
    <t>Solicitd</t>
  </si>
  <si>
    <t>Juego Destornilladores Profesional</t>
  </si>
  <si>
    <t>2.3.6.3.04</t>
  </si>
  <si>
    <t>Taladro Electrico</t>
  </si>
  <si>
    <t>Kit de Red</t>
  </si>
  <si>
    <t>estuche</t>
  </si>
  <si>
    <t>Discos duros SDD 2.5 / 512GB</t>
  </si>
  <si>
    <t>Voltimetro</t>
  </si>
  <si>
    <t>Mouse</t>
  </si>
  <si>
    <t>Contratación de Servicios mantenimientos para UPS APC (1 años)</t>
  </si>
  <si>
    <t>Contratación de Servicios mantenimientos Sistemas Contra Indencios (1 años)</t>
  </si>
  <si>
    <t xml:space="preserve">Contratación de Servicios mantenimientos Sistema de Tierra y Pararrayos </t>
  </si>
  <si>
    <t>Contratación de Servicios de Soporte y Garantia Enlace radio frecuencia (SIUBEN - Gabinete)</t>
  </si>
  <si>
    <t>100 licencias office 365</t>
  </si>
  <si>
    <t>Banco Mundial</t>
  </si>
  <si>
    <t>Contratación de consultor especialista en captura de datos biométricos e identidad digital</t>
  </si>
  <si>
    <t xml:space="preserve">Adquisiciones de los dispositivos de datos biométricos y otros dispositivos </t>
  </si>
  <si>
    <t xml:space="preserve">Equipos </t>
  </si>
  <si>
    <t>1- Adquisición y despliegue de equipos VPN redundantes.</t>
  </si>
  <si>
    <t>2- Línea de comunicaciones plataforma Interoperabilidad
3- Implementación de topologia VPN HUB and SPOKE</t>
  </si>
  <si>
    <t>1- Adquisición y despliegue de equipos VPN redundantes.
2- Línea de comunicaciones plataforma Interoperabilidad.
3- Implementación de topologia VPN HUB and SPOKE.</t>
  </si>
  <si>
    <t>Por definir</t>
  </si>
  <si>
    <t>Contratar consultor para Desarrollar e implementación dashboards y webmapping  de Población migrante</t>
  </si>
  <si>
    <t>Diseño e implementación de plataforma interopebilidad.</t>
  </si>
  <si>
    <t>Total Presupuesto RD$</t>
  </si>
  <si>
    <t>Planificación y Desarrollo</t>
  </si>
  <si>
    <t>2- Gobernanza y Fortalecimiento Institucional</t>
  </si>
  <si>
    <t>Plan Operativo elaborado</t>
  </si>
  <si>
    <t>Matriz de Plan Operativo</t>
  </si>
  <si>
    <t>Remisión tardía por parte de las áreas organizacionales de las matrices de POA; remisión tardía de los techos presupuestarios por parte de la DIGEPRES.</t>
  </si>
  <si>
    <t>Memoria elaborada</t>
  </si>
  <si>
    <t>Memoria Institucional</t>
  </si>
  <si>
    <t>Poca colaboración de las áreas en la remisión de las informaciones</t>
  </si>
  <si>
    <t xml:space="preserve">Informes realizados </t>
  </si>
  <si>
    <t xml:space="preserve">Informes de Desempeño Institucional y de Proyectos de Cooperación elaborados </t>
  </si>
  <si>
    <t>Recepción tardía de las informaciones de las áreas</t>
  </si>
  <si>
    <t xml:space="preserve">Informe realizado </t>
  </si>
  <si>
    <t xml:space="preserve">Informe de Avances del PEI </t>
  </si>
  <si>
    <t xml:space="preserve">Porcentaje de implementación del Sistema </t>
  </si>
  <si>
    <t xml:space="preserve">Sistema Implementado </t>
  </si>
  <si>
    <t xml:space="preserve">Porcentaje de buenas practicas identificadas </t>
  </si>
  <si>
    <t>Informe de buenas practicas
Captura de pantalla de las buenas practicas cargadas en la plataforma</t>
  </si>
  <si>
    <t xml:space="preserve">Talleres realizados </t>
  </si>
  <si>
    <t xml:space="preserve">Listado de asistencia y fotos </t>
  </si>
  <si>
    <t xml:space="preserve">76.5- Realizar taller de buenas practicas </t>
  </si>
  <si>
    <t xml:space="preserve">Número de reuniones convocadas y realizadas </t>
  </si>
  <si>
    <t>Convocatorias abiertas a las reuniones, ampliando a las Organizaciones de la Sociedad Civil (OSC) y/o de las comunidades</t>
  </si>
  <si>
    <t>No se dispongan de los recuros necesarios para realizar estas actividades.</t>
  </si>
  <si>
    <t>Convenios firmados</t>
  </si>
  <si>
    <t>Número de convernios nuevos firmados</t>
  </si>
  <si>
    <t>No se pueda coordinar la firma de los convenios en la fecha pautada por choques de agendas o que surjan actividades de mayor prioridad en el momento.</t>
  </si>
  <si>
    <t>Número de informes entregado</t>
  </si>
  <si>
    <t>Informes entregados por correos</t>
  </si>
  <si>
    <t xml:space="preserve"> No tener retroalimentación de los avances de las áreas vinculantes a tiempo.</t>
  </si>
  <si>
    <t xml:space="preserve">Propuestas de cooperación elaboradas </t>
  </si>
  <si>
    <t>Documento de propuesta</t>
  </si>
  <si>
    <t xml:space="preserve">Recepción tardía de las informaciones </t>
  </si>
  <si>
    <t>Informe de seguimiento a la cooperación</t>
  </si>
  <si>
    <t>Sujeto a Disponibilidad de fondos</t>
  </si>
  <si>
    <t>Mapeo de posilbes proyectos de interes para el SIUBEN</t>
  </si>
  <si>
    <t xml:space="preserve">Estación líquida </t>
  </si>
  <si>
    <t>Alquiler de Salón para capacitación</t>
  </si>
  <si>
    <t>Material gastable e impreso Folletos</t>
  </si>
  <si>
    <t>2.2.8.6.01</t>
  </si>
  <si>
    <r>
      <rPr>
        <b/>
        <sz val="14"/>
        <color theme="1"/>
        <rFont val="Gotham"/>
      </rPr>
      <t xml:space="preserve">                                                Filosofía Institucional</t>
    </r>
    <r>
      <rPr>
        <sz val="11"/>
        <color theme="1"/>
        <rFont val="Gotham"/>
      </rPr>
      <t xml:space="preserve">
</t>
    </r>
    <r>
      <rPr>
        <b/>
        <sz val="11"/>
        <color rgb="FFFF0000"/>
        <rFont val="Gotham"/>
      </rPr>
      <t xml:space="preserve">
Misión</t>
    </r>
    <r>
      <rPr>
        <sz val="11"/>
        <color theme="1"/>
        <rFont val="Gotham"/>
      </rPr>
      <t xml:space="preserve">
Gestionar el registro social universal de hogares y el registro único de beneficiarios a fin de proveer las informaciones necesarias para la identificación de la población elegible de los diferentes beneficios que entrega el Estado para una asignación efectiva de recursos públicos.
</t>
    </r>
    <r>
      <rPr>
        <b/>
        <sz val="11"/>
        <color rgb="FFFF0000"/>
        <rFont val="Gotham"/>
      </rPr>
      <t>Visión</t>
    </r>
    <r>
      <rPr>
        <sz val="11"/>
        <color theme="1"/>
        <rFont val="Gotham"/>
      </rPr>
      <t xml:space="preserve">
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
</t>
    </r>
    <r>
      <rPr>
        <b/>
        <sz val="11"/>
        <color rgb="FFFF0000"/>
        <rFont val="Gotham"/>
      </rPr>
      <t xml:space="preserve">Valores 
</t>
    </r>
    <r>
      <rPr>
        <sz val="11"/>
        <color theme="1"/>
        <rFont val="Gotham"/>
      </rPr>
      <t xml:space="preserve">
</t>
    </r>
    <r>
      <rPr>
        <b/>
        <sz val="11"/>
        <color rgb="FF0070C0"/>
        <rFont val="Gotham"/>
      </rPr>
      <t>Justicia.</t>
    </r>
    <r>
      <rPr>
        <sz val="11"/>
        <color theme="1"/>
        <rFont val="Gotham"/>
      </rPr>
      <t xml:space="preserve"> Participamos en las políticas sociales apegados a los principios de equidad, transparencia, solidaridad, confiabilidad y disponibilidad  para garantizar la  atención e integridad de la población más  vulnerable, sin ningún tipo de discriminación.
</t>
    </r>
    <r>
      <rPr>
        <b/>
        <sz val="11"/>
        <color rgb="FF0070C0"/>
        <rFont val="Gotham"/>
      </rPr>
      <t>Respeto</t>
    </r>
    <r>
      <rPr>
        <sz val="11"/>
        <color theme="1"/>
        <rFont val="Gotham"/>
      </rPr>
      <t xml:space="preserve">. Actuamos de manera incondicional asumiendo a todos los seres humanos en igualdad de derechos,  respetando su dignidad, su privacidad e intimidad.
</t>
    </r>
    <r>
      <rPr>
        <b/>
        <sz val="11"/>
        <color rgb="FF0070C0"/>
        <rFont val="Gotham"/>
      </rPr>
      <t>Confidencialidad</t>
    </r>
    <r>
      <rPr>
        <sz val="11"/>
        <color theme="1"/>
        <rFont val="Gotham"/>
      </rPr>
      <t xml:space="preserve">. Resguardamos la información de los usuarios, como garantía del derecho que tiene toda persona a la confidencialidad de sus informaciones  privadas, para ser protegidas en base al valor de la confianza.
</t>
    </r>
    <r>
      <rPr>
        <b/>
        <sz val="11"/>
        <color rgb="FF0070C0"/>
        <rFont val="Gotham"/>
      </rPr>
      <t>Responsabilidad.</t>
    </r>
    <r>
      <rPr>
        <sz val="11"/>
        <color theme="1"/>
        <rFont val="Gotham"/>
      </rPr>
      <t xml:space="preserve"> Actuamos en base a principios para el logro de nuestros objetivos, incorporando mejoras continuas y previendo las mejores consecuencias para nuestros usuarios.
</t>
    </r>
  </si>
  <si>
    <r>
      <rPr>
        <b/>
        <sz val="14"/>
        <color theme="1"/>
        <rFont val="Gotham"/>
      </rPr>
      <t xml:space="preserve">                                                              Marco Estratégico</t>
    </r>
    <r>
      <rPr>
        <sz val="11"/>
        <color theme="1"/>
        <rFont val="Gotham"/>
      </rPr>
      <t xml:space="preserve">
El marco estratégico del Sistema Único de Beneficiarios (SIUBEN), se encuentra plasmado en su nuevo Plan Estratégico 2021-2024. Este Plan Operativo Anual (POA) responde a los lineamientos de la Estrategia Nacional de Desarrollo 2012-2030; el Plan Nacional Plurianual del Sector Público (PNPSP), los Objetivos Nacional de Desarrollo (ODS) y al Sello Igualando RD.
</t>
    </r>
    <r>
      <rPr>
        <b/>
        <sz val="11"/>
        <color rgb="FFFF0000"/>
        <rFont val="Gotham"/>
      </rPr>
      <t>Eje Estratégico 1: Eje Estratégico 1: Focalización Multidimensional de la Pobreza</t>
    </r>
    <r>
      <rPr>
        <sz val="11"/>
        <color theme="1"/>
        <rFont val="Gotham"/>
      </rPr>
      <t xml:space="preserve">
</t>
    </r>
    <r>
      <rPr>
        <b/>
        <sz val="11"/>
        <color rgb="FF0070C0"/>
        <rFont val="Gotham"/>
      </rPr>
      <t>1.1</t>
    </r>
    <r>
      <rPr>
        <sz val="11"/>
        <color theme="1"/>
        <rFont val="Gotham"/>
      </rPr>
      <t xml:space="preserve"> Crear el registro social universal (RSU) y el registro único de beneficiarios (RUB), enfocando sus funcionalidades a los requerimientos de información y análisis de las políticas sociales
</t>
    </r>
    <r>
      <rPr>
        <b/>
        <sz val="11"/>
        <color rgb="FFFF0000"/>
        <rFont val="Gotham"/>
      </rPr>
      <t>Eje Estratégico 2: Gobernanza y Fortalecimiento Institucional</t>
    </r>
    <r>
      <rPr>
        <sz val="11"/>
        <color theme="1"/>
        <rFont val="Gotham"/>
      </rPr>
      <t xml:space="preserve">
</t>
    </r>
    <r>
      <rPr>
        <b/>
        <sz val="11"/>
        <color rgb="FF0070C0"/>
        <rFont val="Gotham"/>
      </rPr>
      <t>2.1</t>
    </r>
    <r>
      <rPr>
        <sz val="11"/>
        <color theme="1"/>
        <rFont val="Gotham"/>
      </rPr>
      <t xml:space="preserve"> Fortalecer el Marco legal, normativo y funcional del SIUBEN
</t>
    </r>
    <r>
      <rPr>
        <b/>
        <sz val="11"/>
        <color rgb="FF0070C0"/>
        <rFont val="Gotham"/>
      </rPr>
      <t>2.2</t>
    </r>
    <r>
      <rPr>
        <sz val="11"/>
        <color theme="1"/>
        <rFont val="Gotham"/>
      </rPr>
      <t xml:space="preserve"> Posicionar al SIUBEN como una entidad clave para la eficientización de la asignación del gasto público y de las políticas del sector social
</t>
    </r>
    <r>
      <rPr>
        <b/>
        <sz val="11"/>
        <color rgb="FFFF0000"/>
        <rFont val="Gotham"/>
      </rPr>
      <t>Eje Estratégico 3: Investigación, Inteligencia de Datos y Difusión de la Información</t>
    </r>
    <r>
      <rPr>
        <sz val="11"/>
        <color theme="1"/>
        <rFont val="Gotham"/>
      </rPr>
      <t xml:space="preserve">
</t>
    </r>
    <r>
      <rPr>
        <b/>
        <sz val="11"/>
        <color rgb="FF0070C0"/>
        <rFont val="Gotham"/>
      </rPr>
      <t>3.1</t>
    </r>
    <r>
      <rPr>
        <sz val="11"/>
        <color theme="1"/>
        <rFont val="Gotham"/>
      </rPr>
      <t xml:space="preserve"> Dotar al SIUBEN de la capacidad para generar conocimientos a través de la investigación científica y la inteligencia de datos, para ponerlos al servicio de los hacedores de políticas públicas y de la sociedad en general
</t>
    </r>
    <r>
      <rPr>
        <b/>
        <sz val="11"/>
        <color rgb="FF002060"/>
        <rFont val="Gotham"/>
      </rPr>
      <t xml:space="preserve">
Estrategia Nacional de Desarrollo 2030</t>
    </r>
    <r>
      <rPr>
        <sz val="11"/>
        <color theme="1"/>
        <rFont val="Gotham"/>
      </rPr>
      <t xml:space="preserve">
El SIUBEN, por sus funciones, es compromisario del Primer y Segundo Eje de la Ley, que procura “un Estado Social y Democrático de Derecho” y “una Sociedad con Igualdad de Derechos y Oportunidades”.- “Un Estado social y democrático de derecho, con instituciones que actúan con ética, transparencia y eficacia al servicio de una sociedad responsable y participativa, que garantiza la seguridad y promueve la equidad, la gobernabilidad, la convivencia pacífica y el desarrollo nacional y local”, “Una sociedad con igualdad de derechos y oportunidades, en la que toda la población tiene garantizada educación, salud, vivienda digna y servicios básicos de calidad, y que promueve la reducción progresiva de la pobreza y la desigualdad social y territorial”. En sus Objetivo Generales “Administración pública eficiente, transparente y orientada a resultados” e “Igualdad de derechos y oportunidades” y con los Objetivos Específicos de “Estructurar una administración pública eficiente que actúe con honestidad, transparencia y rendición de cuentas y se oriente a la obtención de resultados en beneficio de la sociedad y del desarrollo nacional y local” y “Disminuir la pobreza mediante un efectivo y eficiente sistema de protección social, que tome en cuenta las necesidades y vulnerabilidades a lo largo del ciclo de vida.”
</t>
    </r>
  </si>
  <si>
    <r>
      <rPr>
        <b/>
        <sz val="11"/>
        <color rgb="FF0070C0"/>
        <rFont val="Gotham"/>
      </rPr>
      <t>END 1.1.1.1</t>
    </r>
    <r>
      <rPr>
        <sz val="11"/>
        <color theme="1"/>
        <rFont val="Gotham"/>
      </rPr>
      <t xml:space="preserve"> Racionalizar y normalizar la estructura organizativa del Estado, incluyendo tanto las funciones institucionales como la dotación de personal, para eliminar la duplicidad y dispersión de funciones y organismos y propiciar el acercamiento de los servicios públicos a la población en el territorio, mediante la adecuada descentralización y desconcentración de la provisión de los mismos cuando corresponda.
</t>
    </r>
    <r>
      <rPr>
        <b/>
        <sz val="11"/>
        <color rgb="FF0070C0"/>
        <rFont val="Gotham"/>
      </rPr>
      <t>END 1.1.2.1</t>
    </r>
    <r>
      <rPr>
        <sz val="11"/>
        <color theme="1"/>
        <rFont val="Gotham"/>
      </rPr>
      <t xml:space="preserve"> Fortalecer las capacidades técnicas, gerenciales y de planificación de los gobiernos locales </t>
    </r>
    <r>
      <rPr>
        <sz val="11"/>
        <rFont val="Gotham"/>
      </rPr>
      <t>para formular y ejecutar políticas públicas de manera articulada con el Gobierno Central.</t>
    </r>
    <r>
      <rPr>
        <sz val="11"/>
        <color rgb="FF0070C0"/>
        <rFont val="Gotham"/>
      </rPr>
      <t xml:space="preserve">
</t>
    </r>
    <r>
      <rPr>
        <b/>
        <sz val="11"/>
        <color rgb="FF0070C0"/>
        <rFont val="Gotham"/>
      </rPr>
      <t>END 2.3.3.3</t>
    </r>
    <r>
      <rPr>
        <sz val="11"/>
        <color theme="1"/>
        <rFont val="Gotham"/>
      </rPr>
      <t xml:space="preserve"> Reformar la institucionalidad del sistema de protección social para mejorar el sistema de diseño, ejecución, monitoreo y evaluación de las políticas de protección e inclusión de las familias en condición de pobreza y vulnerabilidad, mediante la integración coordinada de las acciones de los diversos niveles de gobierno e instituciones.
</t>
    </r>
    <r>
      <rPr>
        <b/>
        <sz val="11"/>
        <color rgb="FF0070C0"/>
        <rFont val="Gotham"/>
      </rPr>
      <t>END 2.3.3.4</t>
    </r>
    <r>
      <rPr>
        <sz val="11"/>
        <color theme="1"/>
        <rFont val="Gotham"/>
      </rPr>
      <t xml:space="preserve"> Promover la participación activa de los diferentes actores y sectores sociales en los procesos de diseño, ejecución, evaluación y monitoreo de políticas, programas y proyectos orientados a la reducción de la pobreza, incluyendo aquellos que también impactan positivamente en la sostenibilidad del medio ambiente y la gestión de riesgos.
Cada Plan Nacional Plurianual del Sector Público contendrá el conjunto de programas, proyectos y medidas de políticas, dirigidos a contribuir al logro de los Objetivos y Metas de la Estrategia Nacional de Desarrollo 2030 y definirá cuáles programas y proyectos prioritarios tendrán financiamiento protegido durante la ejecución de dicho plan.
Dos productos definen la participación del SIUBEN en el Plan Plurianual:
</t>
    </r>
    <r>
      <rPr>
        <b/>
        <sz val="11"/>
        <color rgb="FF0070C0"/>
        <rFont val="Gotham"/>
      </rPr>
      <t>Hogares incluidos en  la base de datos del SIUBEN para la constitución del Registro Social Universal</t>
    </r>
    <r>
      <rPr>
        <sz val="11"/>
        <color theme="1"/>
        <rFont val="Gotham"/>
      </rPr>
      <t xml:space="preserve">. Es el registro de todos los hogares ubicados en el territorio nacional  para su categorización de acuerdo a su nivel socioeconómico o vulnerabilidad, con el fin de proveer  información a los programas sociales y a los hacedores de políticas sociales para la focalización de políticas sociales en la República Dominicana.
</t>
    </r>
    <r>
      <rPr>
        <b/>
        <sz val="11"/>
        <color rgb="FF0070C0"/>
        <rFont val="Gotham"/>
      </rPr>
      <t>Instituciones registran los hogares beneficiarios en la base de datos del Siuben para la creación del Registro Único de Beneficiarios.</t>
    </r>
    <r>
      <rPr>
        <sz val="11"/>
        <color theme="1"/>
        <rFont val="Gotham"/>
      </rPr>
      <t xml:space="preserve"> Es el  padrón de los  hogares que reciben beneficios de los programas de protección social, obtenido a través de los registros administrativos de las instituciones ejecutoras de  las políticas del sector.
</t>
    </r>
    <r>
      <rPr>
        <b/>
        <sz val="11"/>
        <color rgb="FF002060"/>
        <rFont val="Gotham"/>
      </rPr>
      <t>Objetivos de Desarrollo Sostenible (ODS)</t>
    </r>
    <r>
      <rPr>
        <sz val="11"/>
        <color theme="1"/>
        <rFont val="Gotham"/>
      </rPr>
      <t xml:space="preserve">
1. Fin de la Pobreza 
2. Hambre Cero
3. Salud y Bienestar 
5. Igualdad de Género
10. Reducción de las Desigualdades
16. Paz, Justicia e Instituciones Solidas
</t>
    </r>
    <r>
      <rPr>
        <sz val="11"/>
        <color theme="1"/>
        <rFont val="Calibri"/>
        <family val="2"/>
        <scheme val="minor"/>
      </rPr>
      <t xml:space="preserve">
</t>
    </r>
  </si>
  <si>
    <t>Dirección y Coordinación (SIUBEN)</t>
  </si>
  <si>
    <t>00.00.0001</t>
  </si>
  <si>
    <t>2.1.1.2.08</t>
  </si>
  <si>
    <t>Sueldo personal de caracter temporal</t>
  </si>
  <si>
    <t>2.1.1.2.09</t>
  </si>
  <si>
    <t>Sueldo de carácter eventual</t>
  </si>
  <si>
    <t>2.1.2.2.05</t>
  </si>
  <si>
    <t>Compensación por servicios de seguridad</t>
  </si>
  <si>
    <t>2.1.1.5.01</t>
  </si>
  <si>
    <t>Prestaciones Laborales</t>
  </si>
  <si>
    <t>2.1.1.5.04</t>
  </si>
  <si>
    <t>Proporción de vacaciones no disfrutadas</t>
  </si>
  <si>
    <t>2.1.5.1.01</t>
  </si>
  <si>
    <t>Contribuciones al seguro de salud</t>
  </si>
  <si>
    <t>2.1.5.2.01</t>
  </si>
  <si>
    <t>Contribuciones al seguro de pensiones</t>
  </si>
  <si>
    <t>2.1.5.3.01</t>
  </si>
  <si>
    <t>Contribuciones al seguro de riesgo laboral</t>
  </si>
  <si>
    <t>Sub-total</t>
  </si>
  <si>
    <t>2.2.1.2.01</t>
  </si>
  <si>
    <t>Servicio  de larga distancia</t>
  </si>
  <si>
    <t>2.2.1.3.01</t>
  </si>
  <si>
    <t>Teléfono local</t>
  </si>
  <si>
    <t>Servicio de Internet</t>
  </si>
  <si>
    <t>2.2.1.6.01</t>
  </si>
  <si>
    <t>Electricidad</t>
  </si>
  <si>
    <t>2.2.1.7.01</t>
  </si>
  <si>
    <t>Agua</t>
  </si>
  <si>
    <t>2.2.1.8.01</t>
  </si>
  <si>
    <t>Residuos sólidos</t>
  </si>
  <si>
    <t>Publicidad y propaganda</t>
  </si>
  <si>
    <t xml:space="preserve">Impresión y encuadernación </t>
  </si>
  <si>
    <t>Viáticos dentro del país</t>
  </si>
  <si>
    <t>2.2.3.2.01</t>
  </si>
  <si>
    <t>Viáticos fuera del país</t>
  </si>
  <si>
    <t>Pasajes</t>
  </si>
  <si>
    <t>2.2.4.2.01</t>
  </si>
  <si>
    <t>Fletes</t>
  </si>
  <si>
    <t>2.2.4.3.01</t>
  </si>
  <si>
    <t>Almacenaje</t>
  </si>
  <si>
    <t>2.2.4.4.01</t>
  </si>
  <si>
    <t>Peaje</t>
  </si>
  <si>
    <t>2.2.5.1.01</t>
  </si>
  <si>
    <t>Edificios y locales</t>
  </si>
  <si>
    <t>2.2.5.3.01</t>
  </si>
  <si>
    <t>Alquiler equipo educacional</t>
  </si>
  <si>
    <t>Alquiler equipo de oficina y muebles</t>
  </si>
  <si>
    <t>Equipos de transporte</t>
  </si>
  <si>
    <t>Licencias informáticas</t>
  </si>
  <si>
    <t>2.2.6.1.01</t>
  </si>
  <si>
    <t>Seguro de bienes inmuebles</t>
  </si>
  <si>
    <t>2.2.6.2.01</t>
  </si>
  <si>
    <t>Seguro de bienes muebles</t>
  </si>
  <si>
    <t>Seguros de personas</t>
  </si>
  <si>
    <t>2.2.7.1.01</t>
  </si>
  <si>
    <t>Obras menores</t>
  </si>
  <si>
    <t>Mantenimiento y reparación equipo muebles y equipos de oficina</t>
  </si>
  <si>
    <t>Mantenimiento y reparación equipo para computación</t>
  </si>
  <si>
    <t>2.2.7.2.03</t>
  </si>
  <si>
    <t>Mantenimiento y reparación equipos de comunicación</t>
  </si>
  <si>
    <t xml:space="preserve">Mantenimiento y reparación equipos de transporte, tracción </t>
  </si>
  <si>
    <t>2.2.8.2.01</t>
  </si>
  <si>
    <t>Comisiones y gastos bancarios</t>
  </si>
  <si>
    <t>Fumigación</t>
  </si>
  <si>
    <t>Lavandería</t>
  </si>
  <si>
    <t>2.2.8.5.03</t>
  </si>
  <si>
    <t>Limpieza e higiene</t>
  </si>
  <si>
    <t>Organización eventos generales</t>
  </si>
  <si>
    <t>2.2.8.6.02</t>
  </si>
  <si>
    <t>Festividades</t>
  </si>
  <si>
    <t>2.2.8.6.03</t>
  </si>
  <si>
    <t>Actuaciones deportivas</t>
  </si>
  <si>
    <t>Servicio de capacitación</t>
  </si>
  <si>
    <t>Otros Servicios técnicos y profesionales</t>
  </si>
  <si>
    <t>2.2.8.8.01</t>
  </si>
  <si>
    <t>Impuestos</t>
  </si>
  <si>
    <t>2.2.8.8.02</t>
  </si>
  <si>
    <t xml:space="preserve">Derechos </t>
  </si>
  <si>
    <t>2.2.8.8.03</t>
  </si>
  <si>
    <t>Tasas</t>
  </si>
  <si>
    <t>Otras contrataciones de servicios</t>
  </si>
  <si>
    <t>Servicio de alimentación</t>
  </si>
  <si>
    <t>Alimentos y bebidas</t>
  </si>
  <si>
    <t xml:space="preserve">Productos forestales </t>
  </si>
  <si>
    <t>Prendas de vestir</t>
  </si>
  <si>
    <t>2.3.2.4.01</t>
  </si>
  <si>
    <t>Calzados</t>
  </si>
  <si>
    <t>2.3.3.1.01</t>
  </si>
  <si>
    <t>Papel de escritorio</t>
  </si>
  <si>
    <t>Productos de papel y cartón</t>
  </si>
  <si>
    <t>2.3.3.3.01</t>
  </si>
  <si>
    <t xml:space="preserve">Producto de Artes gráficas </t>
  </si>
  <si>
    <t>2.3.3.4.01</t>
  </si>
  <si>
    <t>Libros revistas y periódicos</t>
  </si>
  <si>
    <t>2.3.3.5.01</t>
  </si>
  <si>
    <t>Texto de enseñanza</t>
  </si>
  <si>
    <t>2.3.4.1.01</t>
  </si>
  <si>
    <t>Productos medicinales para uso humano</t>
  </si>
  <si>
    <t>2.3.5.1.01</t>
  </si>
  <si>
    <t>Cueros y pieles</t>
  </si>
  <si>
    <t>2.3.5.2.01</t>
  </si>
  <si>
    <t>Artículos de cuero</t>
  </si>
  <si>
    <t>2.3.5.3.01</t>
  </si>
  <si>
    <t xml:space="preserve">Llantas y neumáticos </t>
  </si>
  <si>
    <t>2.3.5.4.01</t>
  </si>
  <si>
    <t>Artículos de Caucho</t>
  </si>
  <si>
    <t>2.3.5.5.01</t>
  </si>
  <si>
    <t>Artículos de Plástico</t>
  </si>
  <si>
    <t>2.3.6.1.01</t>
  </si>
  <si>
    <t>Productos de cemento</t>
  </si>
  <si>
    <t>2.3.6.1.02</t>
  </si>
  <si>
    <t>Productos de cal</t>
  </si>
  <si>
    <t>2.3.6.1.04</t>
  </si>
  <si>
    <t>Productos de yeso</t>
  </si>
  <si>
    <t>2.3.6.1.05</t>
  </si>
  <si>
    <t>Productos de arcilla y derivados</t>
  </si>
  <si>
    <t>Productos de vidrio</t>
  </si>
  <si>
    <t>2.3.6.2.02</t>
  </si>
  <si>
    <t>Productos de loza</t>
  </si>
  <si>
    <t>Herramientas menores</t>
  </si>
  <si>
    <t>2.3.6.3.06</t>
  </si>
  <si>
    <t>Accesorios de metal</t>
  </si>
  <si>
    <t>Gasolina</t>
  </si>
  <si>
    <t>2.3.7.1.02</t>
  </si>
  <si>
    <t>Gasoil</t>
  </si>
  <si>
    <t>Materiales de limpieza</t>
  </si>
  <si>
    <t>Útiles de escritorio, oficina informática y enseñanza</t>
  </si>
  <si>
    <t>Utiles menores médicos - quirurgico</t>
  </si>
  <si>
    <t>2.3.9.4.01</t>
  </si>
  <si>
    <t>Útiles destinados a actividades deportivas y recreativas</t>
  </si>
  <si>
    <t>Útiles de cocina y comedor</t>
  </si>
  <si>
    <t>Productos electrónicos y afines</t>
  </si>
  <si>
    <t>Materiales y útiles varios</t>
  </si>
  <si>
    <t>2.4.1.2.01</t>
  </si>
  <si>
    <t>Ayudas y donaciones</t>
  </si>
  <si>
    <t>2.4.1.4.01</t>
  </si>
  <si>
    <t>Becas nacionales</t>
  </si>
  <si>
    <t>Muebles de oficina y estantería</t>
  </si>
  <si>
    <t>Equipo computacional</t>
  </si>
  <si>
    <t>Electrodoméstico</t>
  </si>
  <si>
    <t>2.6.1.9.01</t>
  </si>
  <si>
    <t xml:space="preserve">Otros Mobiliarios y Equipos </t>
  </si>
  <si>
    <t>Equipo de transporte</t>
  </si>
  <si>
    <t>2.6.5.5.01</t>
  </si>
  <si>
    <t>Equipo de comunicación</t>
  </si>
  <si>
    <t>Denominación</t>
  </si>
  <si>
    <t>Presupuesto POA 2023 RD$</t>
  </si>
  <si>
    <t>Presupuesto 2023 RD$</t>
  </si>
  <si>
    <t>Tabla No. 2
Presupuesto por programática</t>
  </si>
  <si>
    <t>CODIGO</t>
  </si>
  <si>
    <t>PROGRAMÁTICAS</t>
  </si>
  <si>
    <t xml:space="preserve">MONTO </t>
  </si>
  <si>
    <t>Levantamiento Nacional de Hogares para su Categorización</t>
  </si>
  <si>
    <t>Creación de un Sistema de Registro de Beneficiarios a tráves de Datos Administrativos</t>
  </si>
  <si>
    <t>Gráfico 2: Presupuesto 2023 por programática</t>
  </si>
  <si>
    <t>08.00.0001</t>
  </si>
  <si>
    <t>09.00.0001</t>
  </si>
  <si>
    <t>Dirección y Coordinación (SIUBEN</t>
  </si>
  <si>
    <r>
      <t xml:space="preserve">Fuente: </t>
    </r>
    <r>
      <rPr>
        <sz val="11"/>
        <color theme="1"/>
        <rFont val="Gotham"/>
      </rPr>
      <t>Presupuesto aprobado por DIGREPRES</t>
    </r>
  </si>
  <si>
    <t>Tabla No. 1
Presupuesto 2022 por objeto de gasto</t>
  </si>
  <si>
    <t>DETALLE</t>
  </si>
  <si>
    <t xml:space="preserve"> GASTOS CORRIENTES </t>
  </si>
  <si>
    <t xml:space="preserve"> Servicios personales  </t>
  </si>
  <si>
    <t xml:space="preserve"> Activos no financieros  </t>
  </si>
  <si>
    <t xml:space="preserve"> Servicios no personales  </t>
  </si>
  <si>
    <t>Transferencias corrientes</t>
  </si>
  <si>
    <t xml:space="preserve"> Materiales y suministros  </t>
  </si>
  <si>
    <t xml:space="preserve"> Total Gastos Corrientes  </t>
  </si>
  <si>
    <t xml:space="preserve"> Total </t>
  </si>
  <si>
    <t>Gráfico No. 1 Distribución porcentual del presupuesto, según objeto del gasto</t>
  </si>
  <si>
    <t xml:space="preserve"> PRESUPUESTO VIGENTE 2023 RD$</t>
  </si>
  <si>
    <t>Tabla No. 3</t>
  </si>
  <si>
    <t>Departamento</t>
  </si>
  <si>
    <t xml:space="preserve">Análisis </t>
  </si>
  <si>
    <t xml:space="preserve">Calidad del Dato </t>
  </si>
  <si>
    <t xml:space="preserve">Administrativo y Financiero </t>
  </si>
  <si>
    <t xml:space="preserve">Recursos Humanos </t>
  </si>
  <si>
    <t>Planificación</t>
  </si>
  <si>
    <t xml:space="preserve">Naciones Unidas </t>
  </si>
  <si>
    <t xml:space="preserve">Tabla No. 4 </t>
  </si>
  <si>
    <t>RD$ 382,900.00 de uniformes se va a tratar de buscar para la cooperación</t>
  </si>
  <si>
    <t>57- Promover la igualdad de genero en la cultura institucional</t>
  </si>
  <si>
    <t>58- Data WareHouse implementado</t>
  </si>
  <si>
    <t>58.1- Implementar el Data Warehouse</t>
  </si>
  <si>
    <t>59- Sistema de Gestión de Información de la Base de Datos del SIUBEN</t>
  </si>
  <si>
    <t>59.1- Implementar Sistema de Gestión de Información de la Base de Datos del SIUBEN</t>
  </si>
  <si>
    <t>60- Plataforma para el intercambio y cruce electrónico de datos administrativos operando</t>
  </si>
  <si>
    <t xml:space="preserve">60.1- Implementar la Plataforma para el intercambio y cruce electrónico de datos administrativos </t>
  </si>
  <si>
    <t>61- Portal de información de protección social operando</t>
  </si>
  <si>
    <t xml:space="preserve">61.1- Elaborar e implementar portal de información de protección social  </t>
  </si>
  <si>
    <t>62- Sistemas que fortalecen la plataforma tecnológica de la institución implementados</t>
  </si>
  <si>
    <t>62.1- Desarrollar e implementar Modulo para levantamiento Ficha FIBE</t>
  </si>
  <si>
    <t>62.2- Implementar la automatización de los procesos del Sistema de Gestión Integrado (SGI)</t>
  </si>
  <si>
    <t xml:space="preserve">62.3- Modificar e Implementar el Sistemas de Levantamiento en Dispositivos Móviles </t>
  </si>
  <si>
    <t>63- Renovación de la infraestructura tecnologica del SIUBEN</t>
  </si>
  <si>
    <t>63.1- Ejecutar el Cronograma de Mantenimiento Preventivo de Equipos</t>
  </si>
  <si>
    <t>63.2- Ejecutar el Cronograma de Mantenimiento del Centro de Datos SIUBEN</t>
  </si>
  <si>
    <t xml:space="preserve">64- Recertificaciones de Tecnologías de la Información y Comunicación obtenidas </t>
  </si>
  <si>
    <t>64.1- Gestionar la Recertificación en la NORTIC</t>
  </si>
  <si>
    <t>65- Plataforma open source para sistemas de identidad digital para los empadronamientos sin documentos de identidad</t>
  </si>
  <si>
    <t>65.1- Desarrollar una herramienta para captura de datos socioeconómicos y biométricos de los miembros de los hogares sin documentación</t>
  </si>
  <si>
    <t xml:space="preserve">66- Interoperabilidad de los registros migratorios con  la Dirección General de Migración (DGM), los registros de respuesta a emergencia y el registro único de beneficiarios </t>
  </si>
  <si>
    <t>66.1- Implementar la interoperabilidad con Dirección General de Migración (DGM)</t>
  </si>
  <si>
    <t xml:space="preserve">66.2- Implementar la interoperabilidad con e Centro de Operaciones de Emergencias COE (los registros de respuesta a emergencia) </t>
  </si>
  <si>
    <t xml:space="preserve">67- Piloto de interoperabilidad con centros educativos con alta poblacion migrante </t>
  </si>
  <si>
    <t>67.1- Implemetar piloto de interoperabilidad con centros educativos con alta poblacion migrante</t>
  </si>
  <si>
    <t>68- Piloto de interoperabilidad con la Unidad de Atención Primaria (UNAP)</t>
  </si>
  <si>
    <t>68.1- Implemetar piloto de interoperabilidad con la Unidad de Atención Primaria (UNAP)</t>
  </si>
  <si>
    <t xml:space="preserve">69- Dashboards y webmapping  de Población migrante desarrollados </t>
  </si>
  <si>
    <t>69.1- Contratar la consultaria para Desarrollar e implementar dashboards y webmapping  de Población migrante</t>
  </si>
  <si>
    <t>5- Registro Único de Beneficiarios</t>
  </si>
  <si>
    <t xml:space="preserve">5.5- Implementar Protocolos de Interoperabilidad de Datos </t>
  </si>
  <si>
    <t xml:space="preserve">Presupesto Nacional </t>
  </si>
  <si>
    <t>Cooperación</t>
  </si>
  <si>
    <t>Cable SSD 2.5/3.5 a USB 3</t>
  </si>
  <si>
    <t xml:space="preserve">unidiad </t>
  </si>
  <si>
    <t xml:space="preserve">Baterias para Laptop </t>
  </si>
  <si>
    <t>Contratación de Servicios para Mantenmiento de aires de Presición (2 años)</t>
  </si>
  <si>
    <t>10 Renocación de Licencias Firewall   (1 año)</t>
  </si>
  <si>
    <t>Extensión de Garantia de los Servidores (SAN, BLADE) (2 años)</t>
  </si>
  <si>
    <t>67- Piloto de interoperabilidad con centros educativos con alta poblacion migrante</t>
  </si>
  <si>
    <t xml:space="preserve">68- Piloto de interoperabilidad con la Unidad de Atención Primaria (UNAP) </t>
  </si>
  <si>
    <t>69- Dashboards y webmapping  de Población migrante</t>
  </si>
  <si>
    <t>Los departamento no reportan las buenas prácticas de sus equipos  para su publicación</t>
  </si>
  <si>
    <t xml:space="preserve">Porcentaje de documentos producidos y actividades realizadas publicadas </t>
  </si>
  <si>
    <t>Listado de publicaciones realizadas</t>
  </si>
  <si>
    <t>Los departamento no remiten a tiempo los documentos que conforman la memoria insiitucional.</t>
  </si>
  <si>
    <t xml:space="preserve">Cantidad de foros realizados </t>
  </si>
  <si>
    <t xml:space="preserve">Reportes de los foros </t>
  </si>
  <si>
    <t xml:space="preserve">Encuestas de opinión realizadas </t>
  </si>
  <si>
    <t xml:space="preserve">Reporte de la encuesta </t>
  </si>
  <si>
    <t xml:space="preserve">Informe de convenios interinstitucionales firmados </t>
  </si>
  <si>
    <t xml:space="preserve">Difusión de las políticas de igualdad de género, prevenion de violencia, abuso y acoso labroal  y conciliacion familiar </t>
  </si>
  <si>
    <t>Encuentros de presentación</t>
  </si>
  <si>
    <t>Evento público de difusión</t>
  </si>
  <si>
    <t xml:space="preserve">Canidad </t>
  </si>
  <si>
    <t xml:space="preserve">Difusion de los lineamientos de análisis de género </t>
  </si>
  <si>
    <t xml:space="preserve">Resolución insitituiconal </t>
  </si>
  <si>
    <t xml:space="preserve">Candiad </t>
  </si>
  <si>
    <t>Elaborar el presupuesto y Plan de trabajo annual  sensible a género 2023</t>
  </si>
  <si>
    <t xml:space="preserve">Presupuesto y plan de trabajo dedicado a género </t>
  </si>
  <si>
    <t xml:space="preserve">Hamlet </t>
  </si>
  <si>
    <t xml:space="preserve">Rendicion de cuenta </t>
  </si>
  <si>
    <t xml:space="preserve">Informe de monitoreo mensual </t>
  </si>
  <si>
    <t xml:space="preserve">Porcentaje  de poryectos ejecutados a  través de los convneios </t>
  </si>
  <si>
    <t xml:space="preserve">Proyectos ejecutados </t>
  </si>
  <si>
    <t xml:space="preserve">Porcenteje </t>
  </si>
  <si>
    <t xml:space="preserve">Las areas ofrecen informacion a timepo para la formulación y monitoreo de los proyectos. </t>
  </si>
  <si>
    <t xml:space="preserve">Número de socios consultados </t>
  </si>
  <si>
    <t xml:space="preserve">Matriz de parte interesadas actualizadas  </t>
  </si>
  <si>
    <t xml:space="preserve">Candiad  </t>
  </si>
  <si>
    <t xml:space="preserve">Número de instituciones acompañada en el proceso de interoperabildiad </t>
  </si>
  <si>
    <t xml:space="preserve">Minutas de reuniones </t>
  </si>
  <si>
    <t>PMA. BID Cuidados, Banco Mundial Migrantes, Cooperación Francesa, ProRural, Banco Mundial Nueva Operativa</t>
  </si>
  <si>
    <t xml:space="preserve">70- Plan Operativo Anual (POA) 2024 con objetivos, estratégias y resultados de género </t>
  </si>
  <si>
    <t>70.1- Definir la estructura Programática, validando la producción de metas físicas e indicadores de la institución, de acuerdo con lo establecido por DIGEPRES.
70.2- Coordinar el levantamiento de la información para la elaboración del PACC 2024.
70.3- Actualizar los instrumentos para formulación POA.
70.4- Realizar taller de formulación POA 2024 con las áreas.
70.5- Dar asistencia técnica a las áreas organizacionales para la elaboración de los Planes Operativos Anuales (POA).
70.6- Dar Seguimiento a la socialización y validación  (firma de POA) dentro de los respectivos equipos de trabajo de cada área.
70.7- Consolidar las propuestas de planes de las áreas y elaboración del informe POA general SIUBEN.
70.8- Taller de Presentación del POA</t>
  </si>
  <si>
    <t>71- Memoria Institucional de Rendición de Cuentas 2023</t>
  </si>
  <si>
    <t>71.1- Gestión de la solicitud de la memoria del MINPRE.
71.2- Adecuación de los requerimientos acorde a la guía establecida para la solicitud de las memorias.
71.3- Seguimiento y asistencia técnica a las distintas áreas.
71.4- Depuración y compilación de los insumos recibidos.
71.5- Remisión de la memoria al MINPRE.</t>
  </si>
  <si>
    <t>72- Planificación Operativa Anual monitoreada y evaluada mensualmente</t>
  </si>
  <si>
    <t>72.1- Actualizar y remitir, a los departamentos, las herramientas de monitoreo y evaluación del POA.
72.2- Brindar asistencia técnica a las áreas organizacionales, sobre los insumos recibidos.
72.3-  Revisar  y validar las matrices de monitoreo.
72.4- Elaborar los reportes e informes de monitoreo y evaluación POA.
72.5- Socializar informes generados según aplique.
72.6- Taller de evaluación del semestre (va en conjunto con actividad 71.4)</t>
  </si>
  <si>
    <t xml:space="preserve">73- Evaluación del Plan Estratégico 2021-2024 </t>
  </si>
  <si>
    <t>73.1- Elaborar el reporte de monitoreo y evaluación PEI.
73.2- Socializar informe con el equipo gerencial.</t>
  </si>
  <si>
    <t>74- Implementación del Sistema de Planificación</t>
  </si>
  <si>
    <t>74.1- Realizar Taller con los diferentes departamentos para capacitarlos en la carga del POA al sistema 
74.2- Cargar el POA 2024 al sistema de planificación</t>
  </si>
  <si>
    <t>75-Plataforma de Gestión de conocimiento actualizada</t>
  </si>
  <si>
    <t xml:space="preserve">75.1- Identificar y evaluar las buenas practicas de la institución.
75.2- Presentar las buenas practicas al equipo gerencial SIUBEN.
75.3- Cargar las buenas practicas al portal de gestión del conocimiento 
75.4- Compartir con toda la institución las buenas practicas colocadas en la plataforma </t>
  </si>
  <si>
    <t xml:space="preserve">75.5- Realizar taller de buenas practicas </t>
  </si>
  <si>
    <t>75.6 Realizar publicaciones de documentos y actividades realizadas por el SIUBEN.</t>
  </si>
  <si>
    <t>75.7 Realizar foros de socialización</t>
  </si>
  <si>
    <t>75.8 Realizar encuesta de opnión</t>
  </si>
  <si>
    <t>76- Sello Igualando RD - alianzas, participación y Rendición de Cuentas para la igualdad de género</t>
  </si>
  <si>
    <t>76.1- Coordinar reunión para presentar las acciones del SIUBEN para promover la Igualdad de Género a la sociedad civil, sindicatos, organizaciones de mujeres y feministas.(Ayuntamiento de Santo Domingo Este)</t>
  </si>
  <si>
    <t xml:space="preserve">76.2- Realizar informes de convenios interinstitucionales evidencias de las nuevas contribuciones y de las ya existentes del SIUBEN con organismos externos y coordinación territorial en igualdad de género y empoderamiento de las mujeres. </t>
  </si>
  <si>
    <t xml:space="preserve">76.3- Presentar las políticas al personal de la institucion </t>
  </si>
  <si>
    <t>76.4.Relaizar evento público de presentación de la política</t>
  </si>
  <si>
    <t xml:space="preserve">76.5  Elaborar y difundir  una resolucion insitucional con los lineamientos de análisis de género </t>
  </si>
  <si>
    <t>76.6 Elabroar el presupuesto del plan de Género</t>
  </si>
  <si>
    <t>76.7 Elaborar informe a mas tardar los día 5 de cada mes sobre el avance en la implementación del enfoque de género en la insitución</t>
  </si>
  <si>
    <t>77- Relaciones interinstitucionales fortalecidas</t>
  </si>
  <si>
    <t>77.1- Establecer contacto con la institución que se realizará el convenio.                                 
77.2- Coordinar  elaboracion del documento de convenio.                                             
77.3- Firma de convenio.</t>
  </si>
  <si>
    <t>77.1- Actualizar Matriz de convenios.                                                             77.2- Dar seguimiento a las áreas vinculantes según convenio.                                           
77.3- Dar asistencia técnica.
77.4- Dar seguimiento a la elaboración del plan de trabajo
77.5- Compartir los informes con el equipo SIUBEN</t>
  </si>
  <si>
    <t xml:space="preserve">77.6 Formular, monitorear y documentar proyctos en el marco de las relaciones interintiucionales </t>
  </si>
  <si>
    <t xml:space="preserve">77.7 Actualizar la matriz de partes interesadas </t>
  </si>
  <si>
    <t xml:space="preserve">77.8 Realizar seguimeinto para la gobernanza de la interoperabldiad </t>
  </si>
  <si>
    <t>78- Proyecto de coopración para el fortalecimiento institucional alineado al PEI y al SIUBEN+</t>
  </si>
  <si>
    <t>78.1- Realizar diseño y puesta en funcionamiento del proyecto
78.2- Realizar matriz de riesgo de los proyectos</t>
  </si>
  <si>
    <t>79- Seguimiento y documentación de los proyectos de cooperación internacional realizado</t>
  </si>
  <si>
    <t>79.1- Realizar informe de seguimiento de los proyectos para los organismos de cooperación
79.2- Coordinar reuniones de planeación y seguimiento  con áreas responsables
79.3- Realizar informe de ejecución presupuestaria de los proyectos con organismos de cooperación</t>
  </si>
  <si>
    <t>80- Reuniones técnicas con organismos del sistema de la cooperación internacional (Viceministerio de Cooperción MEPYD, Agencias de las NN UU, otros organismos).</t>
  </si>
  <si>
    <t>80.1- Identificar de proyectos de interes para el SIUBEN
80.2- Realizar listado de posibles proyectos</t>
  </si>
  <si>
    <t>Alquiler de Salón</t>
  </si>
  <si>
    <t>70.4- Realizar taller de formulación POA 2024 con las áreas.</t>
  </si>
  <si>
    <t xml:space="preserve">70.8- Taller de Presentación del POA </t>
  </si>
  <si>
    <t>77.3- Firma de convenio.</t>
  </si>
  <si>
    <t>77.2- Establecer contacto con la institución que se realizará el convenio.</t>
  </si>
  <si>
    <t>76.1- Coordinar reunión para presentar las acciones del SIUBEN para promover la Igualdad de Género a la sociedad civil, sindicatos, organizaciones de mujeres y feministas.</t>
  </si>
  <si>
    <t xml:space="preserve">75- Plataforma de Gestión de conocimiento actualizada </t>
  </si>
  <si>
    <t xml:space="preserve">72- Evaluación del Plan Estratégico 2021-2024 </t>
  </si>
  <si>
    <t>72.2- Socializar informe con el equipo gerencial.</t>
  </si>
  <si>
    <r>
      <t>EJE ESTRAT</t>
    </r>
    <r>
      <rPr>
        <b/>
        <sz val="16"/>
        <color theme="1"/>
        <rFont val="Calibri"/>
        <family val="2"/>
      </rPr>
      <t>É</t>
    </r>
    <r>
      <rPr>
        <b/>
        <sz val="16"/>
        <color theme="1"/>
        <rFont val="Calibri"/>
        <family val="2"/>
        <scheme val="minor"/>
      </rPr>
      <t xml:space="preserve">GICO </t>
    </r>
  </si>
  <si>
    <r>
      <t>OBJETIVO ESTRAT</t>
    </r>
    <r>
      <rPr>
        <b/>
        <sz val="16"/>
        <color theme="1"/>
        <rFont val="Calibri"/>
        <family val="2"/>
      </rPr>
      <t>É</t>
    </r>
    <r>
      <rPr>
        <b/>
        <sz val="16"/>
        <color theme="1"/>
        <rFont val="Calibri"/>
        <family val="2"/>
        <scheme val="minor"/>
      </rPr>
      <t xml:space="preserve">GICO </t>
    </r>
  </si>
  <si>
    <t>Porcentaje de capacitaciones evaluadas correspondientes al periodo</t>
  </si>
  <si>
    <t>Nuevo programa de capacitacion semipresencial implementado</t>
  </si>
  <si>
    <t>Programa de capacitacion levantamiento FIBE implementado</t>
  </si>
  <si>
    <t xml:space="preserve">El MAP no esta disponible para asesoría debido a la alta demanda por el cambio de gobierno </t>
  </si>
  <si>
    <t xml:space="preserve">El covid afecta el rendimiento laboral de los colaboradores </t>
  </si>
  <si>
    <t>Sistema o plataforma tecnologica de personal de campo</t>
  </si>
  <si>
    <t>Confirmar con Tecnologia</t>
  </si>
  <si>
    <t>Porcentaje de actividades programadas realizadas</t>
  </si>
  <si>
    <t>Matriz de seguimiento de Planificacion</t>
  </si>
  <si>
    <t>49.1. Elaborar plan de capacitación 2024</t>
  </si>
  <si>
    <t>49.2. Implementar  el plan de capacitación 2023</t>
  </si>
  <si>
    <t xml:space="preserve">49.3. Evaluar  de la eficacia de las capacitaciones programadas 2023 </t>
  </si>
  <si>
    <t>50- Implementacion del programa de capacitacion virtual para el personal de campo modalidad semipresencial</t>
  </si>
  <si>
    <t>50.1  Realizar plan piloto implementación del programa de capacitación semipresencial</t>
  </si>
  <si>
    <t>50.2  Presentar informe de los resultados del Plan piloto</t>
  </si>
  <si>
    <t>50.3 Realizar plan de Acción para la implementación</t>
  </si>
  <si>
    <t>50.4  Implementar plan de capacitación semipresencial</t>
  </si>
  <si>
    <t>51- Programa de capacitacion para el levantamiento FIBE implementado</t>
  </si>
  <si>
    <t>51.1 Diseñar programa de capacitacion de acuerdo con la documentación y herramientas requeridas para el proceso</t>
  </si>
  <si>
    <t>51.2 Establecer el proceso de implentación de las capacitaciones en otras instituciones</t>
  </si>
  <si>
    <t>51.3 Gestionar contratación de proveedor para desarrollo de la plataforma y cargar contenido</t>
  </si>
  <si>
    <t>51.4 Probar la plataforma a traves de un piloto, para la validación de su efectividad.</t>
  </si>
  <si>
    <t>51.5 Capacitar equipos de emergencias</t>
  </si>
  <si>
    <t xml:space="preserve">52- Implementacion de plan de accion Clima Institucional </t>
  </si>
  <si>
    <t>52.1. Ejecucion del plan de acción sobre las áreas a fortalecer</t>
  </si>
  <si>
    <t>52.2. Realizar  en coordinación con el MAP la encuesta de clima laboral.</t>
  </si>
  <si>
    <t xml:space="preserve">52.3. Aplicar encuesta de clima organizacional </t>
  </si>
  <si>
    <t>53.1. Elaborar de acuerdos de desempeño 2023</t>
  </si>
  <si>
    <t>53.2. Elaborar  acuerdos de desempeño 2023 de nuevos colaboradores o con cambios en su designación</t>
  </si>
  <si>
    <t>53.3. Dar seguimiento a los supervisores para completar las evaluaciones del desempeño del personal</t>
  </si>
  <si>
    <t>54-  Beneficios e incentivos al personal</t>
  </si>
  <si>
    <t>55- Programa anual de  integración y comunicacion interna ejecutado a nivel nacional</t>
  </si>
  <si>
    <t xml:space="preserve">56-Automatizacion de base da datos de personal  elegible para trabajo de campo garantizando equidad de genero </t>
  </si>
  <si>
    <t xml:space="preserve">54.1. Reconocimiento a colaboradores del trimestre </t>
  </si>
  <si>
    <t>54.2. Coordinacion de jornadas de salud</t>
  </si>
  <si>
    <t>55.1. Día del servidor público</t>
  </si>
  <si>
    <t>55.2. Día de las secretarias</t>
  </si>
  <si>
    <t>55.3. Día de las madres</t>
  </si>
  <si>
    <t>55.4. Día de los padres</t>
  </si>
  <si>
    <t>55.5. Aniversario SIUBEN</t>
  </si>
  <si>
    <t>55.6. Verano Divertido</t>
  </si>
  <si>
    <t>55.7. Dia de la no violencia contra la mujer</t>
  </si>
  <si>
    <t>55.8. Inauguración de la navidad</t>
  </si>
  <si>
    <t>55.9. Encuentro Navideño</t>
  </si>
  <si>
    <t>56.1. Coordinar benchmarking con empresas de investigación de mercados e instituciones de publicas de reclutamiento masivo de personal de campo.</t>
  </si>
  <si>
    <t>56.2. Coordinar encuentro con el área de tecnología para determinar la plataforma tecnológica a utilizar para el banco de elegible del personal de campo.</t>
  </si>
  <si>
    <t>56.3. Banco de elegible del personal de campo.</t>
  </si>
  <si>
    <t>56.4. Elaborar matriz por Regional del personal de campo identificado por género.</t>
  </si>
  <si>
    <t>57.1. Aplicar encuesta al personal para diagnostico de sobre discriminacion y acoso</t>
  </si>
  <si>
    <t>57.2. Elaborar borrador de politica para favorecer la conciliación laboral y personal</t>
  </si>
  <si>
    <t>57.3. Actualizacion de analisis de brecha salarial y plan de accion incorporando observaciones de personal de MINMUJ</t>
  </si>
  <si>
    <t>55.6- Verano Divertido</t>
  </si>
  <si>
    <t>55.5- Aniversario SIUBEN</t>
  </si>
  <si>
    <t>81- Levantamiento de información socio-económica de hogares</t>
  </si>
  <si>
    <t>%Cobertura levantamiento en campo</t>
  </si>
  <si>
    <t>Informe final, y datos certificados</t>
  </si>
  <si>
    <t>Hogares</t>
  </si>
  <si>
    <t>81.1- Levantamiento Azua y SDE (Apoyo comunidades de cuidado)</t>
  </si>
  <si>
    <t>Fondos BID</t>
  </si>
  <si>
    <t>Análisis de Información Socieconómica</t>
  </si>
  <si>
    <t>1.1 Crear el registro social universal (RSU) y el registro único de beneficiarios (RUB), enfocando sus funcionalidades a los requerimientos de información y análisis de las políticas sociales nacional y local. y 3.1Generar conocimientos a través de la investigación científica y la inteligencia de datos, para ponerlo  al servicio de los hacedores de políticas públicas y de la sociedad en general.</t>
  </si>
  <si>
    <t>1. Homologación de variables de los cuestionarios de nuestros principales clientes</t>
  </si>
  <si>
    <t>1.3 Realizar reuniones con enlaces en las instituciones</t>
  </si>
  <si>
    <t xml:space="preserve">8- Registro Único de Beneficiarios  </t>
  </si>
  <si>
    <t xml:space="preserve">8.1 Realizar Talleres sobre calidad de datos, manejo de información  y ética en el manejo de los datos </t>
  </si>
  <si>
    <t>Coperación Francesa</t>
  </si>
  <si>
    <t>9. Plataforma interactiva de vistas de mapas implementada
 (Webmapping)</t>
  </si>
  <si>
    <t>9.2 Incorporar prar datos del IPAT a la plataforma de Webmappimg</t>
  </si>
  <si>
    <t>Licencia</t>
  </si>
  <si>
    <t xml:space="preserve">9.Resumen de políticas en áreas estratégicas de gobierno y género (Policy Briefs)  </t>
  </si>
  <si>
    <t>9.1 Realizar reuniones con actores/sectores de intéres</t>
  </si>
  <si>
    <t>Las dos reuniones serán llevadas a cabo en el mes de enero</t>
  </si>
  <si>
    <t>9.3 Revisar la bibliográfica</t>
  </si>
  <si>
    <t xml:space="preserve">Acceso a plataforma de papers </t>
  </si>
  <si>
    <t>Subscripción</t>
  </si>
  <si>
    <t>Todas las subscripciones deben ser adquiridas en el mes de enero</t>
  </si>
  <si>
    <t>9.5 Realizar evento de presentación de resultados del resumen de políticas a instituciones relacionadas/interesadas</t>
  </si>
  <si>
    <t>Viáticos (combustible,vehículo y dieta)</t>
  </si>
  <si>
    <t xml:space="preserve">10. Investigaciones en áreas estratégicas de gobierno </t>
  </si>
  <si>
    <t xml:space="preserve">10.5 Publicación de las investigaciones en revistas </t>
  </si>
  <si>
    <t>Publicación para acceso abierto</t>
  </si>
  <si>
    <t>Publicación</t>
  </si>
  <si>
    <t>Este monto se paga cada vez que se publica una investigación de acceso abierto</t>
  </si>
  <si>
    <t>11. Capacitación en el uso y explotación de la base de datos del Siuben</t>
  </si>
  <si>
    <t xml:space="preserve">11.4 Difusión del contenido en taller </t>
  </si>
  <si>
    <t>12. Desarrollo de índice de prioridades para la atención a las privaciones territoriales</t>
  </si>
  <si>
    <t xml:space="preserve">12.1. Realizar diseño del índice  </t>
  </si>
  <si>
    <t xml:space="preserve">Servicios Profesionales (consultorías) </t>
  </si>
  <si>
    <t>12.3. Realizar talleres para el uso de datos y priorización</t>
  </si>
  <si>
    <t xml:space="preserve">15. Diseño de la Evaluación de Impacto del Proyecto de Cuidados </t>
  </si>
  <si>
    <t>15.1 Elaboración de documento metodológico</t>
  </si>
  <si>
    <t xml:space="preserve">ODS </t>
  </si>
  <si>
    <t>Servicio de consultoría</t>
  </si>
  <si>
    <t>Servicio de Consultoría</t>
  </si>
  <si>
    <t>Tirsis Quezada</t>
  </si>
  <si>
    <t>Directora de Análisis de la Información Socioeconómica</t>
  </si>
  <si>
    <t>1.1 Crear el registro social universal (RSU) y el registro único de beneficiarios (RUB), enfocando sus funcionalidades a los requerimientos de información y análisis de las políticas sociales nacional y local.</t>
  </si>
  <si>
    <t>1. Homologación de variables de los cuestionarios y bases de datos de SeNaSa, INFOTEP,CONAPE,INAIPI,SISARIL y CONADIS.</t>
  </si>
  <si>
    <t>2. Análisis de calidad de las bases de datos durante los levantamientos</t>
  </si>
  <si>
    <t>3a. Siuben 3</t>
  </si>
  <si>
    <t>3B. IVACC</t>
  </si>
  <si>
    <t>3c. Modelo de ingresos</t>
  </si>
  <si>
    <t>4. Informes de levantamientos especiales</t>
  </si>
  <si>
    <t>Protocolo de actualización de variables socioeconómicas derivadas de beneficios sociales de vivienda entregados por MIVED y Ministerio de la Presidencia (Programa Familia Feliz)</t>
  </si>
  <si>
    <t>5.1 Explorar las bases de datos de beneficios sociales de vivienda                                                                                                 5.2 Definir las variables susceptibles de actualización          5.3 Diseñar propuesta protocolo de actualización y consensuar con las instituciones relacionadas (MIVED y M. Presidencia) y los departamentos de SIUBEN involucrados (TI)                                                                                     5.4 Redactar e implementar propuesta final de actualización</t>
  </si>
  <si>
    <t>6.1 Actualizar los datos del web mapping con los cortes actualizados de la base de datos SIUBEN</t>
  </si>
  <si>
    <t>9. Capacitación en el uso y explotación de la base de datos del Siuben</t>
  </si>
  <si>
    <t xml:space="preserve">9.1 Realizar jornada interna de capacitación 
9.2 Definir el contenido del taller
9.3 Preparar el contenido 
9.4 Difundir el contenido en taller 
9.5 Revisar la edición del video </t>
  </si>
  <si>
    <t>9a. Desarrollo de un tutorial ICV y nuevos indices</t>
  </si>
  <si>
    <t>10. Socialización de resultados de levantamientos con las comunidades</t>
  </si>
  <si>
    <t xml:space="preserve">11.1 Diseño conceptual del piloto                                                               11.2 Talleres para la implementación                                                      11.3 Evaluación del piloto y redacción del informe                                                                                                                              </t>
  </si>
  <si>
    <t>12.Elaboración de  dashboards y mapa en línea  de Población migrante</t>
  </si>
  <si>
    <t>12.a Análisis y edición de autollenado población migrante venezolana. 
12.1 Identificar y seleccionar variables relevantes para el dashboard y  mapa en línea                                                                         
12.2 Elaborar la tabla de información y la capa cartográfica sobre la población migrante con las variables seleccionadas                           12.3 Elaborar y publicar el dashboard y el mapa en línea</t>
  </si>
  <si>
    <t>13.Encuesta SEIA - FIBE</t>
  </si>
  <si>
    <t xml:space="preserve">13.1 Elaborar el diseño muestral y rediseñar el cuestionario         13.2 Seleccionar al muestra telefónica y remitrila a la Dirección de Operaciones                                                                                                         13.3 Analizar los resultados y actualizar el dashboard de la Encuesta SEIA                                                                                                                          13.4  Revisión de la ficha FIBE.                                                                      13.5  Revisión del manual de la ficha FIBE                                                                            </t>
  </si>
  <si>
    <t>14. incoporación de la perspectiva de genero a la información interna o externa producida por la DAI.</t>
  </si>
  <si>
    <t xml:space="preserve">documento con información general y jefatura de hogar desagregada por Sexo </t>
  </si>
  <si>
    <t>14.1. identificar las variables de acuerdo con las recomendaciones de los informes de consultoria de Genero
14.2. realizar los cruces
14.3. Analizar la información 
14.4. elaborar los informes</t>
  </si>
  <si>
    <r>
      <rPr>
        <b/>
        <sz val="14"/>
        <color theme="1"/>
        <rFont val="Gotham"/>
      </rPr>
      <t xml:space="preserve">                                                            Presentación</t>
    </r>
    <r>
      <rPr>
        <sz val="11"/>
        <color theme="1"/>
        <rFont val="Gotham"/>
      </rPr>
      <t xml:space="preserve">
El Sistema Único de Beneficiarios (SIUBEN) es una institución del Gobierno Dominicano, creada por disposición del Poder Ejecutivo mediante el Decreto Número 1073-04 del 31 de agosto del 2004, a través del cual se declara de alto nivel nacional  su establecimiento, con el objetivo de identificar las familias elegibles para recibir los beneficios de los programas sociales  y subsidios que se efectúen con recursos públicos.
El </t>
    </r>
    <r>
      <rPr>
        <b/>
        <sz val="11"/>
        <color theme="1"/>
        <rFont val="Gotham"/>
      </rPr>
      <t>decreto 396-22</t>
    </r>
    <r>
      <rPr>
        <sz val="11"/>
        <color theme="1"/>
        <rFont val="Gotham"/>
      </rPr>
      <t xml:space="preserve"> modifica el artículo 1 del decreto 426-07, para que, a partir del </t>
    </r>
    <r>
      <rPr>
        <b/>
        <sz val="11"/>
        <color theme="1"/>
        <rFont val="Gotham"/>
      </rPr>
      <t>1 de enero de 2023</t>
    </r>
    <r>
      <rPr>
        <sz val="11"/>
        <color theme="1"/>
        <rFont val="Gotham"/>
      </rPr>
      <t>, disponga lo siguiente: “Se crea el Sistema Único de Beneficiarios (SIUBEN) como una dependencia del</t>
    </r>
    <r>
      <rPr>
        <b/>
        <sz val="11"/>
        <color theme="1"/>
        <rFont val="Gotham"/>
      </rPr>
      <t xml:space="preserve"> Ministerio de Economía, Planificación y Desarrollo</t>
    </r>
    <r>
      <rPr>
        <sz val="11"/>
        <color theme="1"/>
        <rFont val="Gotham"/>
      </rPr>
      <t xml:space="preserve">, cuya función es identificar, caracterizar, registrar y priorizar lasfamilias en condición de pobreza, que habitan en zonas geográficas identificadas en el Mapa de Pobreza y en zonas fuera del mismo, que resulten de interés para losfines de las políticas públicas”.
El Plan Operativo Anual (POA) es una herramienta de planificación institucional de corto plazo que refleja los productos y actividades que los diferentes departamentos se proponen llevar a cabo durante el período de un (1) año, considerando los lineamientos establecidos en el Plan Estratégico Institucional (PEI)  el cual  a su vez se alinea con el mandato en los decretos citados y las prioridades establecidas en el plan de la gestión gubernamental 2021-2024.
La planificación operativa, así como el monitoreo y seguimiento de la misma, se encuentra bajo la responsabilidad del Departamento de Planificación y Desarrollo, el cual coordina el proceso de formulación, monitoreo y evaluación de los planes, programas y proyectos con el involucramiento de los enlaces designados para el seguimiento a la planificación de cada departamento. En ese sentido, el equipo de Planificación y Desarrollo elabora el presente documento explicativo a fin de dar a conocer el curso de las acciones institucionales programadas para el año 2023.
El POA 2023, además de fortalecer su plataforma tecnológica, pretende potencializar el uso de la base de datos del SIUBEN por las instituciones que implementan políticas de protección social y la comunidad académica nacional e internacional a los fines de generar conocimiento para potenciar las capacidades  de las instituciones tanto públicas como privadas. Otro elemento distintivo de este POA es la de cerrar las brechas de las solicitudes de punto solidario a nivel nacional. También en el año 2023 el SIUBEN se propone continuar con la transversalizar de género en todas sus operaciones, así como contribuir a disminuir la brecha de género en las políticas de protección social generando información oportuna y pertinentes para las tomas de decisiones. Es un año de transición del SIUBEN tanto como en el traspaso de la institución hacia MEPyD como para la consolidación del Registro Universal de Hogares y el Registro Único de Beneficiarios, con una mirada a la inclusión de género, personas con discapacidad y personas  no documentas.
Esta plan también contempla 82 productos con un costo ascendente a trescientos treinta y dos millones quinientos cincuenta y cinco mil novecientos doce (RD$332,555,912.00), de los cuales 27% (RD$45,460,725.00) corresponde a fondos de cooperación internacional y 73% (RD$287,095,187.00) corresponde a  fondos provenientes del presupuesto nacional.
                                                                                     </t>
    </r>
    <r>
      <rPr>
        <b/>
        <sz val="11"/>
        <color theme="1"/>
        <rFont val="Gotham"/>
      </rPr>
      <t>Jefrey Lizardo</t>
    </r>
    <r>
      <rPr>
        <sz val="11"/>
        <color theme="1"/>
        <rFont val="Gotham"/>
      </rPr>
      <t xml:space="preserve">
                                                                                   Director General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</si>
</sst>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0.00;[Red]#,##0.00"/>
    <numFmt numFmtId="168" formatCode="&quot;RD$&quot;#,##0.00"/>
  </numFmts>
  <fonts count="5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Gotham"/>
    </font>
    <font>
      <sz val="11"/>
      <color theme="1"/>
      <name val="Gotham"/>
    </font>
    <font>
      <b/>
      <i/>
      <sz val="11"/>
      <color theme="0"/>
      <name val="Gotham"/>
    </font>
    <font>
      <b/>
      <i/>
      <sz val="10"/>
      <color theme="0"/>
      <name val="Gotham"/>
    </font>
    <font>
      <b/>
      <i/>
      <sz val="9"/>
      <color theme="0"/>
      <name val="Gotham"/>
    </font>
    <font>
      <i/>
      <sz val="11"/>
      <color theme="1"/>
      <name val="Gotham"/>
    </font>
    <font>
      <i/>
      <sz val="10"/>
      <color theme="1"/>
      <name val="Gotham"/>
    </font>
    <font>
      <b/>
      <sz val="11"/>
      <color theme="0"/>
      <name val="Gotham"/>
    </font>
    <font>
      <b/>
      <sz val="14"/>
      <color theme="1"/>
      <name val="Gotham"/>
    </font>
    <font>
      <b/>
      <sz val="16"/>
      <color theme="1"/>
      <name val="Gotham"/>
    </font>
    <font>
      <b/>
      <sz val="16"/>
      <color theme="0"/>
      <name val="Gotham"/>
    </font>
    <font>
      <sz val="12"/>
      <color theme="1"/>
      <name val="Gotham"/>
    </font>
    <font>
      <b/>
      <sz val="12"/>
      <color theme="0"/>
      <name val="Gotham"/>
    </font>
    <font>
      <b/>
      <sz val="11"/>
      <color rgb="FF9C0006"/>
      <name val="Calibri"/>
      <family val="2"/>
      <scheme val="minor"/>
    </font>
    <font>
      <sz val="9"/>
      <color rgb="FF006100"/>
      <name val="Calibri"/>
      <family val="2"/>
      <scheme val="minor"/>
    </font>
    <font>
      <b/>
      <sz val="16"/>
      <color theme="1"/>
      <name val="Calibri"/>
      <family val="2"/>
      <scheme val="minor"/>
    </font>
    <font>
      <sz val="11"/>
      <name val="Gotham"/>
    </font>
    <font>
      <sz val="12"/>
      <name val="Gotham"/>
    </font>
    <font>
      <sz val="11"/>
      <color rgb="FFFF0000"/>
      <name val="Gotham"/>
    </font>
    <font>
      <b/>
      <sz val="12"/>
      <name val="Gotham"/>
    </font>
    <font>
      <sz val="14"/>
      <color theme="1"/>
      <name val="Gotham"/>
    </font>
    <font>
      <sz val="11"/>
      <color rgb="FF000000"/>
      <name val="Gotham"/>
    </font>
    <font>
      <sz val="11"/>
      <color theme="0"/>
      <name val="Gotham"/>
    </font>
    <font>
      <sz val="11"/>
      <color rgb="FF0070C0"/>
      <name val="Gotham"/>
    </font>
    <font>
      <b/>
      <sz val="11"/>
      <color rgb="FF7030A0"/>
      <name val="Gotham"/>
    </font>
    <font>
      <b/>
      <sz val="11"/>
      <name val="Gotham"/>
    </font>
    <font>
      <b/>
      <sz val="11"/>
      <color rgb="FFFF0000"/>
      <name val="Gotham"/>
    </font>
    <font>
      <b/>
      <sz val="11"/>
      <color rgb="FF0070C0"/>
      <name val="Gotham"/>
    </font>
    <font>
      <b/>
      <sz val="11"/>
      <color rgb="FF002060"/>
      <name val="Gotham"/>
    </font>
    <font>
      <b/>
      <sz val="9"/>
      <color theme="0"/>
      <name val="Gotham"/>
    </font>
    <font>
      <sz val="9"/>
      <color rgb="FF000000"/>
      <name val="Gotham"/>
    </font>
    <font>
      <i/>
      <sz val="9"/>
      <color theme="0"/>
      <name val="Gotham"/>
    </font>
    <font>
      <b/>
      <sz val="9"/>
      <color rgb="FF000000"/>
      <name val="Gotham"/>
    </font>
    <font>
      <sz val="11"/>
      <color rgb="FFFF0000"/>
      <name val="Calibri"/>
      <family val="2"/>
      <scheme val="minor"/>
    </font>
    <font>
      <sz val="12"/>
      <color theme="1"/>
      <name val="Calibri"/>
      <family val="2"/>
      <scheme val="minor"/>
    </font>
    <font>
      <b/>
      <sz val="16"/>
      <color theme="1"/>
      <name val="Calibri"/>
      <family val="2"/>
    </font>
    <font>
      <b/>
      <sz val="12"/>
      <color theme="0"/>
      <name val="Calibri"/>
      <family val="2"/>
      <scheme val="minor"/>
    </font>
    <font>
      <sz val="11"/>
      <name val="Calibri"/>
      <family val="2"/>
      <scheme val="minor"/>
    </font>
    <font>
      <sz val="11"/>
      <color rgb="FF0070C0"/>
      <name val="Calibri"/>
      <family val="2"/>
      <scheme val="minor"/>
    </font>
    <font>
      <b/>
      <sz val="9"/>
      <color indexed="81"/>
      <name val="Tahoma"/>
      <family val="2"/>
    </font>
    <font>
      <sz val="9"/>
      <color indexed="81"/>
      <name val="Tahoma"/>
      <family val="2"/>
    </font>
    <font>
      <b/>
      <sz val="16"/>
      <color theme="0"/>
      <name val="Calibri"/>
      <family val="2"/>
      <scheme val="minor"/>
    </font>
  </fonts>
  <fills count="23">
    <fill>
      <patternFill patternType="none"/>
    </fill>
    <fill>
      <patternFill patternType="gray125"/>
    </fill>
    <fill>
      <patternFill patternType="solid">
        <fgColor rgb="FFC6EFCE"/>
      </patternFill>
    </fill>
    <fill>
      <patternFill patternType="solid">
        <fgColor rgb="FFFFC7CE"/>
      </patternFill>
    </fill>
    <fill>
      <patternFill patternType="solid">
        <fgColor rgb="FFF2F2F2"/>
      </patternFill>
    </fill>
    <fill>
      <patternFill patternType="solid">
        <fgColor rgb="FF0070C0"/>
        <bgColor rgb="FFCCFFFF"/>
      </patternFill>
    </fill>
    <fill>
      <patternFill patternType="solid">
        <fgColor rgb="FF0070C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70C0"/>
        <bgColor theme="8"/>
      </patternFill>
    </fill>
    <fill>
      <patternFill patternType="solid">
        <fgColor theme="0"/>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theme="8"/>
        <bgColor theme="8"/>
      </patternFill>
    </fill>
    <fill>
      <patternFill patternType="solid">
        <fgColor theme="2"/>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rgb="FF000000"/>
      </patternFill>
    </fill>
    <fill>
      <patternFill patternType="solid">
        <fgColor theme="4" tint="-0.249977111117893"/>
        <bgColor indexed="64"/>
      </patternFill>
    </fill>
    <fill>
      <patternFill patternType="solid">
        <fgColor theme="4" tint="-0.249977111117893"/>
        <bgColor theme="8"/>
      </patternFill>
    </fill>
  </fills>
  <borders count="70">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8" fillId="0" borderId="0"/>
    <xf numFmtId="43" fontId="8" fillId="0" borderId="0" applyFont="0" applyFill="0" applyBorder="0" applyAlignment="0" applyProtection="0"/>
  </cellStyleXfs>
  <cellXfs count="947">
    <xf numFmtId="0" fontId="0" fillId="0" borderId="0" xfId="0"/>
    <xf numFmtId="0" fontId="9" fillId="0" borderId="0" xfId="7" applyFont="1"/>
    <xf numFmtId="0" fontId="9" fillId="0" borderId="0" xfId="7" applyFont="1" applyAlignment="1">
      <alignment horizontal="right"/>
    </xf>
    <xf numFmtId="0" fontId="10" fillId="0" borderId="0" xfId="7" applyFont="1"/>
    <xf numFmtId="43" fontId="10" fillId="0" borderId="0" xfId="8" applyFont="1" applyAlignment="1"/>
    <xf numFmtId="0" fontId="11" fillId="5" borderId="2" xfId="7" applyFont="1" applyFill="1" applyBorder="1" applyAlignment="1">
      <alignment horizontal="center" vertical="center"/>
    </xf>
    <xf numFmtId="0" fontId="12" fillId="5" borderId="3" xfId="7" applyFont="1" applyFill="1" applyBorder="1" applyAlignment="1">
      <alignment horizontal="center" vertical="center"/>
    </xf>
    <xf numFmtId="17" fontId="11" fillId="6" borderId="3" xfId="7" applyNumberFormat="1" applyFont="1" applyFill="1" applyBorder="1" applyAlignment="1">
      <alignment horizontal="center" vertical="center"/>
    </xf>
    <xf numFmtId="0" fontId="13" fillId="6" borderId="4" xfId="7" applyFont="1" applyFill="1" applyBorder="1" applyAlignment="1">
      <alignment horizontal="center" vertical="center" wrapText="1"/>
    </xf>
    <xf numFmtId="0" fontId="14" fillId="0" borderId="5" xfId="7" applyFont="1" applyBorder="1"/>
    <xf numFmtId="0" fontId="15" fillId="0" borderId="6" xfId="7" applyFont="1" applyBorder="1"/>
    <xf numFmtId="164" fontId="14" fillId="0" borderId="6" xfId="7" applyNumberFormat="1" applyFont="1" applyBorder="1"/>
    <xf numFmtId="164" fontId="14" fillId="0" borderId="7" xfId="7" applyNumberFormat="1" applyFont="1" applyBorder="1"/>
    <xf numFmtId="0" fontId="15" fillId="0" borderId="6" xfId="7" applyFont="1" applyBorder="1" applyAlignment="1">
      <alignment wrapText="1"/>
    </xf>
    <xf numFmtId="164" fontId="10" fillId="0" borderId="0" xfId="7" applyNumberFormat="1" applyFont="1"/>
    <xf numFmtId="0" fontId="14" fillId="0" borderId="8" xfId="7" applyFont="1" applyBorder="1"/>
    <xf numFmtId="0" fontId="15" fillId="0" borderId="9" xfId="7" applyFont="1" applyBorder="1"/>
    <xf numFmtId="164" fontId="14" fillId="0" borderId="9" xfId="7" applyNumberFormat="1" applyFont="1" applyBorder="1"/>
    <xf numFmtId="0" fontId="14" fillId="0" borderId="10" xfId="7" applyFont="1" applyBorder="1"/>
    <xf numFmtId="0" fontId="15" fillId="0" borderId="11" xfId="7" applyFont="1" applyBorder="1" applyAlignment="1">
      <alignment wrapText="1"/>
    </xf>
    <xf numFmtId="164" fontId="14" fillId="0" borderId="12" xfId="7" applyNumberFormat="1" applyFont="1" applyBorder="1"/>
    <xf numFmtId="164" fontId="14" fillId="0" borderId="13" xfId="8" applyNumberFormat="1" applyFont="1" applyFill="1" applyBorder="1"/>
    <xf numFmtId="0" fontId="16" fillId="6" borderId="15" xfId="7" applyFont="1" applyFill="1" applyBorder="1"/>
    <xf numFmtId="164" fontId="16" fillId="6" borderId="16" xfId="7" applyNumberFormat="1" applyFont="1" applyFill="1" applyBorder="1"/>
    <xf numFmtId="0" fontId="11" fillId="5" borderId="2" xfId="7" applyFont="1" applyFill="1" applyBorder="1" applyAlignment="1">
      <alignment vertical="center"/>
    </xf>
    <xf numFmtId="164" fontId="16" fillId="6" borderId="15" xfId="7" applyNumberFormat="1" applyFont="1" applyFill="1" applyBorder="1"/>
    <xf numFmtId="4" fontId="10" fillId="0" borderId="0" xfId="7" applyNumberFormat="1" applyFont="1"/>
    <xf numFmtId="0" fontId="10" fillId="0" borderId="0" xfId="0" applyFont="1"/>
    <xf numFmtId="0" fontId="16" fillId="6" borderId="18" xfId="0" applyFont="1" applyFill="1" applyBorder="1" applyAlignment="1">
      <alignment horizontal="center" vertical="center"/>
    </xf>
    <xf numFmtId="0" fontId="16" fillId="6" borderId="18" xfId="0" applyFont="1" applyFill="1" applyBorder="1" applyAlignment="1">
      <alignment horizontal="center" vertical="center" wrapText="1"/>
    </xf>
    <xf numFmtId="0" fontId="10" fillId="0" borderId="18" xfId="0" applyFont="1" applyBorder="1" applyAlignment="1">
      <alignment horizontal="left" vertical="center" wrapText="1"/>
    </xf>
    <xf numFmtId="164" fontId="10" fillId="0" borderId="18"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xf numFmtId="0" fontId="10" fillId="7" borderId="18" xfId="0" applyFont="1" applyFill="1" applyBorder="1" applyAlignment="1">
      <alignment horizontal="left" vertical="center" wrapText="1"/>
    </xf>
    <xf numFmtId="164" fontId="10" fillId="7" borderId="18" xfId="0" applyNumberFormat="1" applyFont="1" applyFill="1" applyBorder="1" applyAlignment="1">
      <alignment horizontal="center" vertical="center"/>
    </xf>
    <xf numFmtId="0" fontId="10" fillId="7" borderId="18" xfId="0" applyFont="1" applyFill="1" applyBorder="1" applyAlignment="1">
      <alignment horizontal="center" vertical="center"/>
    </xf>
    <xf numFmtId="0" fontId="10" fillId="7" borderId="18" xfId="0" applyFont="1" applyFill="1" applyBorder="1"/>
    <xf numFmtId="164" fontId="10" fillId="8" borderId="18" xfId="0" applyNumberFormat="1" applyFont="1" applyFill="1" applyBorder="1" applyAlignment="1">
      <alignment horizontal="center" vertical="center"/>
    </xf>
    <xf numFmtId="164" fontId="10" fillId="0" borderId="18" xfId="0" applyNumberFormat="1" applyFont="1" applyBorder="1" applyAlignment="1">
      <alignment horizontal="center"/>
    </xf>
    <xf numFmtId="0" fontId="10" fillId="0" borderId="18" xfId="0" applyFont="1" applyBorder="1" applyAlignment="1">
      <alignment horizontal="center"/>
    </xf>
    <xf numFmtId="44" fontId="10" fillId="0" borderId="18" xfId="2" applyFont="1" applyBorder="1" applyAlignment="1">
      <alignment horizontal="center"/>
    </xf>
    <xf numFmtId="164" fontId="10" fillId="7" borderId="18" xfId="0" applyNumberFormat="1" applyFont="1" applyFill="1" applyBorder="1"/>
    <xf numFmtId="164" fontId="10" fillId="0" borderId="18" xfId="0" applyNumberFormat="1" applyFont="1" applyBorder="1"/>
    <xf numFmtId="164" fontId="16" fillId="6" borderId="18" xfId="0" applyNumberFormat="1" applyFont="1" applyFill="1" applyBorder="1"/>
    <xf numFmtId="0" fontId="16" fillId="6" borderId="18" xfId="0" applyFont="1" applyFill="1" applyBorder="1"/>
    <xf numFmtId="0" fontId="10" fillId="0" borderId="0" xfId="0" applyFont="1" applyAlignment="1">
      <alignment horizontal="left" vertical="center" wrapText="1"/>
    </xf>
    <xf numFmtId="0" fontId="10" fillId="0" borderId="0" xfId="0" applyFont="1" applyAlignment="1">
      <alignment horizontal="center" vertical="center"/>
    </xf>
    <xf numFmtId="0" fontId="18" fillId="0" borderId="0" xfId="0" applyFont="1" applyAlignment="1">
      <alignment horizontal="center" wrapText="1"/>
    </xf>
    <xf numFmtId="0" fontId="18" fillId="0" borderId="0" xfId="0" applyFont="1" applyAlignment="1">
      <alignment horizontal="center"/>
    </xf>
    <xf numFmtId="0" fontId="19" fillId="6" borderId="18" xfId="0" applyFont="1" applyFill="1" applyBorder="1" applyAlignment="1">
      <alignment horizontal="left" wrapText="1"/>
    </xf>
    <xf numFmtId="0" fontId="16" fillId="9" borderId="18"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0" fillId="0" borderId="0" xfId="0" applyFont="1" applyAlignment="1">
      <alignment vertical="center" wrapText="1"/>
    </xf>
    <xf numFmtId="0" fontId="10" fillId="7" borderId="18" xfId="0" applyFont="1" applyFill="1" applyBorder="1" applyAlignment="1">
      <alignment horizontal="left" vertical="center"/>
    </xf>
    <xf numFmtId="0" fontId="10" fillId="7" borderId="18" xfId="0" applyFont="1" applyFill="1" applyBorder="1" applyAlignment="1">
      <alignment horizontal="center" vertical="center" wrapText="1"/>
    </xf>
    <xf numFmtId="0" fontId="10" fillId="0" borderId="0" xfId="0" applyFont="1" applyAlignment="1">
      <alignment vertical="center"/>
    </xf>
    <xf numFmtId="0" fontId="10" fillId="10" borderId="18" xfId="0" applyFont="1" applyFill="1" applyBorder="1" applyAlignment="1">
      <alignment horizontal="left" vertical="center" wrapText="1"/>
    </xf>
    <xf numFmtId="0" fontId="10" fillId="10" borderId="18" xfId="0" applyFont="1" applyFill="1" applyBorder="1" applyAlignment="1">
      <alignment horizontal="left" vertical="center"/>
    </xf>
    <xf numFmtId="0" fontId="10" fillId="10" borderId="18" xfId="0" applyFont="1" applyFill="1" applyBorder="1" applyAlignment="1">
      <alignment horizontal="center" vertical="center" wrapText="1"/>
    </xf>
    <xf numFmtId="0" fontId="10" fillId="10" borderId="18" xfId="0" applyFont="1" applyFill="1" applyBorder="1" applyAlignment="1">
      <alignment horizontal="center" vertical="center"/>
    </xf>
    <xf numFmtId="43" fontId="10" fillId="10" borderId="18" xfId="1" applyFont="1" applyFill="1" applyBorder="1" applyAlignment="1">
      <alignment horizontal="center" vertical="center"/>
    </xf>
    <xf numFmtId="43" fontId="10" fillId="7" borderId="18" xfId="1" applyFont="1" applyFill="1" applyBorder="1" applyAlignment="1">
      <alignment horizontal="center" vertical="center"/>
    </xf>
    <xf numFmtId="0" fontId="10" fillId="10" borderId="0" xfId="0" applyFont="1" applyFill="1" applyAlignment="1">
      <alignment vertical="center" wrapText="1"/>
    </xf>
    <xf numFmtId="0" fontId="10" fillId="0" borderId="0" xfId="0" applyFont="1" applyAlignment="1">
      <alignment wrapText="1"/>
    </xf>
    <xf numFmtId="0" fontId="10" fillId="0" borderId="0" xfId="0" applyFont="1" applyAlignment="1">
      <alignment horizontal="center"/>
    </xf>
    <xf numFmtId="0" fontId="10" fillId="10" borderId="0" xfId="0" applyFont="1" applyFill="1"/>
    <xf numFmtId="9" fontId="10" fillId="7" borderId="18" xfId="0" applyNumberFormat="1" applyFont="1" applyFill="1" applyBorder="1" applyAlignment="1">
      <alignment horizontal="center" vertical="center"/>
    </xf>
    <xf numFmtId="164" fontId="10" fillId="10" borderId="18" xfId="0" applyNumberFormat="1" applyFont="1" applyFill="1" applyBorder="1" applyAlignment="1">
      <alignment horizontal="center" vertical="center"/>
    </xf>
    <xf numFmtId="0" fontId="10" fillId="0" borderId="0" xfId="0" applyFont="1" applyAlignment="1">
      <alignment horizontal="left" vertical="center"/>
    </xf>
    <xf numFmtId="0" fontId="10" fillId="7" borderId="18" xfId="0" applyFont="1" applyFill="1" applyBorder="1" applyAlignment="1">
      <alignment vertical="center"/>
    </xf>
    <xf numFmtId="0" fontId="10" fillId="11" borderId="18" xfId="0" applyFont="1" applyFill="1" applyBorder="1" applyAlignment="1">
      <alignment horizontal="center" vertical="center"/>
    </xf>
    <xf numFmtId="0" fontId="10" fillId="0" borderId="0" xfId="0" applyFont="1" applyAlignment="1">
      <alignment horizontal="center" vertical="center" wrapText="1"/>
    </xf>
    <xf numFmtId="0" fontId="10" fillId="0" borderId="18" xfId="0" applyFont="1" applyBorder="1" applyAlignment="1">
      <alignment horizontal="left" vertical="center"/>
    </xf>
    <xf numFmtId="164" fontId="10" fillId="7" borderId="18" xfId="0" applyNumberFormat="1" applyFont="1" applyFill="1" applyBorder="1" applyAlignment="1">
      <alignment horizontal="center" vertical="center" wrapText="1"/>
    </xf>
    <xf numFmtId="0" fontId="10" fillId="0" borderId="18" xfId="0" applyFont="1" applyBorder="1" applyAlignment="1">
      <alignment horizontal="center" vertical="center" wrapText="1"/>
    </xf>
    <xf numFmtId="164" fontId="10" fillId="0" borderId="18" xfId="0" applyNumberFormat="1" applyFont="1" applyBorder="1" applyAlignment="1">
      <alignment horizontal="center" vertical="center" wrapText="1"/>
    </xf>
    <xf numFmtId="164" fontId="16" fillId="6" borderId="18" xfId="0" applyNumberFormat="1" applyFont="1" applyFill="1" applyBorder="1" applyAlignment="1">
      <alignment horizontal="center" vertical="center"/>
    </xf>
    <xf numFmtId="0" fontId="10" fillId="0" borderId="0" xfId="0" applyFont="1" applyAlignment="1">
      <alignment horizontal="center" wrapText="1"/>
    </xf>
    <xf numFmtId="0" fontId="18" fillId="6" borderId="18" xfId="0" applyFont="1" applyFill="1" applyBorder="1" applyAlignment="1">
      <alignment horizontal="left"/>
    </xf>
    <xf numFmtId="0" fontId="18" fillId="6" borderId="0" xfId="0" applyFont="1" applyFill="1" applyAlignment="1">
      <alignment horizontal="left"/>
    </xf>
    <xf numFmtId="0" fontId="10" fillId="12" borderId="0" xfId="0" applyFont="1" applyFill="1"/>
    <xf numFmtId="0" fontId="16" fillId="13" borderId="26" xfId="0" applyFont="1" applyFill="1" applyBorder="1" applyAlignment="1">
      <alignment horizontal="center" vertical="center" wrapText="1"/>
    </xf>
    <xf numFmtId="0" fontId="10" fillId="14" borderId="18" xfId="0" applyFont="1" applyFill="1" applyBorder="1" applyAlignment="1">
      <alignment horizontal="left" vertical="center" wrapText="1"/>
    </xf>
    <xf numFmtId="0" fontId="10" fillId="14" borderId="18" xfId="0" applyFont="1" applyFill="1" applyBorder="1" applyAlignment="1">
      <alignment horizontal="center" vertical="center"/>
    </xf>
    <xf numFmtId="9" fontId="10" fillId="14" borderId="18" xfId="0" applyNumberFormat="1" applyFont="1" applyFill="1" applyBorder="1" applyAlignment="1">
      <alignment horizontal="center" vertical="center"/>
    </xf>
    <xf numFmtId="164" fontId="10" fillId="14" borderId="18" xfId="2" applyNumberFormat="1" applyFont="1" applyFill="1" applyBorder="1" applyAlignment="1">
      <alignment horizontal="center" vertical="center"/>
    </xf>
    <xf numFmtId="0" fontId="10" fillId="14" borderId="18" xfId="0" applyFont="1" applyFill="1" applyBorder="1"/>
    <xf numFmtId="0" fontId="10" fillId="14" borderId="18" xfId="0" applyFont="1" applyFill="1" applyBorder="1" applyAlignment="1">
      <alignment wrapText="1"/>
    </xf>
    <xf numFmtId="165" fontId="10" fillId="14" borderId="18" xfId="1" applyNumberFormat="1" applyFont="1" applyFill="1" applyBorder="1" applyAlignment="1">
      <alignment horizontal="center" vertical="center"/>
    </xf>
    <xf numFmtId="0" fontId="10" fillId="14" borderId="18" xfId="0" applyFont="1" applyFill="1" applyBorder="1" applyAlignment="1">
      <alignment horizontal="center" vertical="center" wrapText="1"/>
    </xf>
    <xf numFmtId="0" fontId="10" fillId="10" borderId="18" xfId="0" applyFont="1" applyFill="1" applyBorder="1"/>
    <xf numFmtId="164" fontId="10" fillId="10" borderId="18" xfId="2" applyNumberFormat="1" applyFont="1" applyFill="1" applyBorder="1" applyAlignment="1">
      <alignment horizontal="center" vertical="center"/>
    </xf>
    <xf numFmtId="164" fontId="10" fillId="7" borderId="18" xfId="2" applyNumberFormat="1" applyFont="1" applyFill="1" applyBorder="1" applyAlignment="1">
      <alignment horizontal="center" vertical="center"/>
    </xf>
    <xf numFmtId="43" fontId="10" fillId="7" borderId="18" xfId="1" applyFont="1" applyFill="1" applyBorder="1" applyAlignment="1">
      <alignment horizontal="left" vertical="center"/>
    </xf>
    <xf numFmtId="0" fontId="10" fillId="7" borderId="18" xfId="0" applyFont="1" applyFill="1" applyBorder="1" applyAlignment="1">
      <alignment horizontal="left"/>
    </xf>
    <xf numFmtId="0" fontId="10" fillId="10" borderId="18" xfId="0" applyFont="1" applyFill="1" applyBorder="1" applyAlignment="1">
      <alignment vertical="center" wrapText="1"/>
    </xf>
    <xf numFmtId="0" fontId="10" fillId="0" borderId="18" xfId="0" applyFont="1" applyBorder="1" applyAlignment="1">
      <alignment vertical="center"/>
    </xf>
    <xf numFmtId="164" fontId="10" fillId="0" borderId="18" xfId="2" applyNumberFormat="1" applyFont="1" applyBorder="1" applyAlignment="1">
      <alignment horizontal="center" vertical="center"/>
    </xf>
    <xf numFmtId="43" fontId="10" fillId="0" borderId="18" xfId="1" applyFont="1" applyBorder="1" applyAlignment="1">
      <alignment horizontal="left" vertical="center"/>
    </xf>
    <xf numFmtId="43" fontId="16" fillId="6" borderId="18" xfId="1" applyFont="1" applyFill="1" applyBorder="1" applyAlignment="1">
      <alignment horizontal="center" vertical="center"/>
    </xf>
    <xf numFmtId="44" fontId="10" fillId="0" borderId="0" xfId="0" applyNumberFormat="1" applyFont="1"/>
    <xf numFmtId="0" fontId="2" fillId="2" borderId="18" xfId="4" applyBorder="1" applyAlignment="1">
      <alignment horizontal="center" vertical="center" wrapText="1"/>
    </xf>
    <xf numFmtId="0" fontId="6" fillId="15" borderId="18" xfId="0" applyFont="1" applyFill="1" applyBorder="1"/>
    <xf numFmtId="165" fontId="0" fillId="0" borderId="18" xfId="1" applyNumberFormat="1" applyFont="1" applyBorder="1"/>
    <xf numFmtId="165" fontId="0" fillId="0" borderId="0" xfId="0" applyNumberFormat="1"/>
    <xf numFmtId="0" fontId="1" fillId="10" borderId="18" xfId="1" applyNumberFormat="1" applyFont="1" applyFill="1" applyBorder="1"/>
    <xf numFmtId="0" fontId="0" fillId="0" borderId="18" xfId="0" applyBorder="1"/>
    <xf numFmtId="0" fontId="5" fillId="16" borderId="18" xfId="0" applyFont="1" applyFill="1" applyBorder="1" applyAlignment="1">
      <alignment horizontal="left" vertical="center" wrapText="1"/>
    </xf>
    <xf numFmtId="0" fontId="5" fillId="16" borderId="22" xfId="0" applyFont="1" applyFill="1" applyBorder="1" applyAlignment="1">
      <alignment horizontal="center" vertical="center" wrapText="1"/>
    </xf>
    <xf numFmtId="0" fontId="5" fillId="16" borderId="27" xfId="0" applyFont="1" applyFill="1" applyBorder="1" applyAlignment="1">
      <alignment horizontal="center" vertical="center" wrapText="1"/>
    </xf>
    <xf numFmtId="0" fontId="23" fillId="2" borderId="18" xfId="4" applyFont="1" applyBorder="1" applyAlignment="1">
      <alignment horizontal="center" vertical="center" wrapText="1"/>
    </xf>
    <xf numFmtId="0" fontId="4" fillId="4" borderId="18" xfId="6" applyBorder="1" applyAlignment="1">
      <alignment horizontal="center" vertical="center"/>
    </xf>
    <xf numFmtId="43" fontId="6" fillId="15" borderId="18" xfId="1" applyFont="1" applyFill="1" applyBorder="1"/>
    <xf numFmtId="43" fontId="4" fillId="4" borderId="18" xfId="6" applyNumberFormat="1" applyBorder="1"/>
    <xf numFmtId="0" fontId="0" fillId="10" borderId="18" xfId="0" applyFill="1" applyBorder="1"/>
    <xf numFmtId="43" fontId="0" fillId="0" borderId="18" xfId="1" applyFont="1" applyBorder="1"/>
    <xf numFmtId="165" fontId="0" fillId="0" borderId="18" xfId="1" applyNumberFormat="1" applyFont="1" applyBorder="1" applyAlignment="1"/>
    <xf numFmtId="165" fontId="0" fillId="0" borderId="18" xfId="1" applyNumberFormat="1" applyFont="1" applyBorder="1" applyAlignment="1">
      <alignment horizontal="center"/>
    </xf>
    <xf numFmtId="165" fontId="1" fillId="0" borderId="18" xfId="1" applyNumberFormat="1" applyFont="1" applyBorder="1"/>
    <xf numFmtId="43" fontId="1" fillId="0" borderId="18" xfId="1" applyFont="1" applyBorder="1"/>
    <xf numFmtId="165" fontId="1" fillId="0" borderId="18" xfId="1" applyNumberFormat="1" applyFont="1" applyBorder="1" applyAlignment="1">
      <alignment horizontal="center"/>
    </xf>
    <xf numFmtId="44" fontId="0" fillId="0" borderId="0" xfId="2" applyFont="1"/>
    <xf numFmtId="0" fontId="5" fillId="16" borderId="18" xfId="0" applyFont="1" applyFill="1" applyBorder="1"/>
    <xf numFmtId="0" fontId="7" fillId="16" borderId="18" xfId="0" applyFont="1" applyFill="1" applyBorder="1"/>
    <xf numFmtId="166" fontId="5" fillId="16" borderId="18" xfId="0" applyNumberFormat="1" applyFont="1" applyFill="1" applyBorder="1"/>
    <xf numFmtId="166" fontId="4" fillId="4" borderId="18" xfId="6" applyNumberFormat="1" applyBorder="1"/>
    <xf numFmtId="0" fontId="0" fillId="0" borderId="0" xfId="0" applyAlignment="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5" fillId="12" borderId="14" xfId="0" applyFont="1" applyFill="1" applyBorder="1" applyAlignment="1">
      <alignment vertical="center"/>
    </xf>
    <xf numFmtId="0" fontId="5" fillId="12" borderId="15" xfId="0" applyFont="1" applyFill="1" applyBorder="1" applyAlignment="1">
      <alignment vertical="center"/>
    </xf>
    <xf numFmtId="0" fontId="5" fillId="13" borderId="28" xfId="0" applyFont="1" applyFill="1" applyBorder="1" applyAlignment="1">
      <alignment horizontal="center" vertical="center" wrapText="1"/>
    </xf>
    <xf numFmtId="0" fontId="5" fillId="13" borderId="14" xfId="0" applyFont="1" applyFill="1" applyBorder="1" applyAlignment="1">
      <alignment horizontal="center" vertical="center" wrapText="1"/>
    </xf>
    <xf numFmtId="0" fontId="0" fillId="0" borderId="0" xfId="0" applyAlignment="1">
      <alignment vertical="center" wrapText="1"/>
    </xf>
    <xf numFmtId="0" fontId="10" fillId="7" borderId="18" xfId="0" applyFont="1" applyFill="1" applyBorder="1" applyAlignment="1">
      <alignment vertical="center" wrapText="1"/>
    </xf>
    <xf numFmtId="9" fontId="10" fillId="7" borderId="18" xfId="3" applyFont="1" applyFill="1" applyBorder="1" applyAlignment="1">
      <alignment horizontal="center" vertical="center" wrapText="1"/>
    </xf>
    <xf numFmtId="9" fontId="10" fillId="10" borderId="18" xfId="3" applyFont="1" applyFill="1" applyBorder="1" applyAlignment="1">
      <alignment horizontal="center" vertical="center" wrapText="1"/>
    </xf>
    <xf numFmtId="9" fontId="10" fillId="7" borderId="18" xfId="0" applyNumberFormat="1" applyFont="1" applyFill="1" applyBorder="1" applyAlignment="1">
      <alignment horizontal="center" vertical="center" wrapText="1"/>
    </xf>
    <xf numFmtId="9" fontId="10" fillId="10" borderId="18" xfId="0" applyNumberFormat="1" applyFont="1" applyFill="1" applyBorder="1" applyAlignment="1">
      <alignment horizontal="center" vertical="center"/>
    </xf>
    <xf numFmtId="0" fontId="18" fillId="6" borderId="18" xfId="0" applyFont="1" applyFill="1" applyBorder="1" applyAlignment="1">
      <alignment horizontal="left" vertical="center"/>
    </xf>
    <xf numFmtId="0" fontId="20" fillId="0" borderId="19" xfId="0" applyFont="1" applyBorder="1" applyAlignment="1">
      <alignment vertical="center"/>
    </xf>
    <xf numFmtId="0" fontId="20" fillId="0" borderId="20" xfId="0" applyFont="1" applyBorder="1" applyAlignment="1">
      <alignment vertical="center"/>
    </xf>
    <xf numFmtId="0" fontId="20" fillId="0" borderId="20" xfId="0" applyFont="1" applyBorder="1" applyAlignment="1">
      <alignment horizontal="center" vertical="center" wrapText="1"/>
    </xf>
    <xf numFmtId="0" fontId="20" fillId="0" borderId="23" xfId="0" applyFont="1" applyBorder="1" applyAlignment="1">
      <alignment vertical="center"/>
    </xf>
    <xf numFmtId="0" fontId="0" fillId="12" borderId="0" xfId="0" applyFill="1"/>
    <xf numFmtId="0" fontId="5" fillId="13" borderId="26" xfId="0" applyFont="1" applyFill="1" applyBorder="1" applyAlignment="1">
      <alignment horizontal="center" vertical="center" wrapText="1"/>
    </xf>
    <xf numFmtId="43" fontId="10" fillId="7" borderId="18" xfId="1" applyFont="1" applyFill="1" applyBorder="1" applyAlignment="1">
      <alignment vertical="center"/>
    </xf>
    <xf numFmtId="164" fontId="10" fillId="7" borderId="18" xfId="0" applyNumberFormat="1" applyFont="1" applyFill="1" applyBorder="1" applyAlignment="1">
      <alignment vertical="center"/>
    </xf>
    <xf numFmtId="164" fontId="16" fillId="6" borderId="18" xfId="0" applyNumberFormat="1" applyFont="1" applyFill="1" applyBorder="1" applyAlignment="1">
      <alignment vertical="center"/>
    </xf>
    <xf numFmtId="0" fontId="16" fillId="6" borderId="18" xfId="0" applyFont="1" applyFill="1" applyBorder="1" applyAlignment="1">
      <alignment vertical="center"/>
    </xf>
    <xf numFmtId="0" fontId="0" fillId="0" borderId="0" xfId="0" applyAlignment="1">
      <alignment horizontal="center" wrapText="1"/>
    </xf>
    <xf numFmtId="164" fontId="10" fillId="10" borderId="18" xfId="1" applyNumberFormat="1" applyFont="1" applyFill="1" applyBorder="1" applyAlignment="1">
      <alignment horizontal="center" vertical="center" wrapText="1"/>
    </xf>
    <xf numFmtId="164" fontId="10" fillId="7" borderId="18" xfId="1" applyNumberFormat="1" applyFont="1" applyFill="1" applyBorder="1" applyAlignment="1">
      <alignment horizontal="center" vertical="center"/>
    </xf>
    <xf numFmtId="164" fontId="10" fillId="10" borderId="18" xfId="1" applyNumberFormat="1" applyFont="1" applyFill="1" applyBorder="1" applyAlignment="1">
      <alignment horizontal="center" vertical="center"/>
    </xf>
    <xf numFmtId="0" fontId="18" fillId="0" borderId="0" xfId="0" applyFont="1"/>
    <xf numFmtId="0" fontId="18" fillId="6" borderId="18" xfId="0" applyFont="1" applyFill="1" applyBorder="1" applyAlignment="1">
      <alignment horizontal="left" wrapText="1"/>
    </xf>
    <xf numFmtId="0" fontId="25" fillId="7" borderId="18" xfId="0" applyFont="1" applyFill="1" applyBorder="1" applyAlignment="1">
      <alignment vertical="center" wrapText="1"/>
    </xf>
    <xf numFmtId="0" fontId="25" fillId="7" borderId="18" xfId="0" applyFont="1" applyFill="1" applyBorder="1" applyAlignment="1">
      <alignment horizontal="left" vertical="center" wrapText="1"/>
    </xf>
    <xf numFmtId="0" fontId="25" fillId="7" borderId="18" xfId="0" applyFont="1" applyFill="1" applyBorder="1" applyAlignment="1">
      <alignment horizontal="center" vertical="center" wrapText="1"/>
    </xf>
    <xf numFmtId="0" fontId="25" fillId="7" borderId="18" xfId="3" applyNumberFormat="1" applyFont="1" applyFill="1" applyBorder="1" applyAlignment="1">
      <alignment horizontal="center" vertical="center" wrapText="1"/>
    </xf>
    <xf numFmtId="3" fontId="25" fillId="7" borderId="18" xfId="0" applyNumberFormat="1" applyFont="1" applyFill="1" applyBorder="1" applyAlignment="1">
      <alignment horizontal="center" vertical="center" wrapText="1"/>
    </xf>
    <xf numFmtId="0" fontId="25" fillId="10" borderId="18" xfId="0" applyFont="1" applyFill="1" applyBorder="1" applyAlignment="1">
      <alignment horizontal="justify" vertical="center" wrapText="1"/>
    </xf>
    <xf numFmtId="0" fontId="25" fillId="10" borderId="18" xfId="0" applyFont="1" applyFill="1" applyBorder="1" applyAlignment="1">
      <alignment horizontal="center" vertical="center" wrapText="1"/>
    </xf>
    <xf numFmtId="3" fontId="25" fillId="10" borderId="18" xfId="0" applyNumberFormat="1" applyFont="1" applyFill="1" applyBorder="1" applyAlignment="1">
      <alignment horizontal="center" vertical="center" wrapText="1"/>
    </xf>
    <xf numFmtId="0" fontId="25" fillId="10" borderId="18" xfId="0" applyFont="1" applyFill="1" applyBorder="1" applyAlignment="1">
      <alignment horizontal="left" vertical="center" wrapText="1"/>
    </xf>
    <xf numFmtId="0" fontId="25" fillId="0" borderId="18" xfId="0" applyFont="1" applyBorder="1" applyAlignment="1">
      <alignment horizontal="center" vertical="center" wrapText="1"/>
    </xf>
    <xf numFmtId="0" fontId="25" fillId="7" borderId="18" xfId="0" applyFont="1" applyFill="1" applyBorder="1" applyAlignment="1">
      <alignment horizontal="justify" vertical="center" wrapText="1"/>
    </xf>
    <xf numFmtId="164" fontId="25" fillId="7" borderId="18" xfId="0" applyNumberFormat="1" applyFont="1" applyFill="1" applyBorder="1" applyAlignment="1">
      <alignment horizontal="center" vertical="center" wrapText="1"/>
    </xf>
    <xf numFmtId="0" fontId="25" fillId="0" borderId="0" xfId="0" applyFont="1" applyAlignment="1">
      <alignment wrapText="1"/>
    </xf>
    <xf numFmtId="0" fontId="21" fillId="6" borderId="18" xfId="0" applyFont="1" applyFill="1" applyBorder="1" applyAlignment="1">
      <alignment horizontal="left"/>
    </xf>
    <xf numFmtId="0" fontId="20" fillId="10" borderId="0" xfId="0" applyFont="1" applyFill="1"/>
    <xf numFmtId="0" fontId="20" fillId="0" borderId="0" xfId="0" applyFont="1"/>
    <xf numFmtId="0" fontId="16" fillId="9" borderId="25" xfId="0" applyFont="1" applyFill="1" applyBorder="1" applyAlignment="1">
      <alignment horizontal="center" vertical="center" wrapText="1"/>
    </xf>
    <xf numFmtId="0" fontId="26" fillId="7" borderId="18" xfId="0" applyFont="1" applyFill="1" applyBorder="1" applyAlignment="1">
      <alignment horizontal="left" vertical="center" wrapText="1"/>
    </xf>
    <xf numFmtId="0" fontId="26" fillId="7" borderId="18" xfId="0" applyFont="1" applyFill="1" applyBorder="1" applyAlignment="1">
      <alignment horizontal="center" vertical="center"/>
    </xf>
    <xf numFmtId="164" fontId="26" fillId="7" borderId="18" xfId="0" applyNumberFormat="1" applyFont="1" applyFill="1" applyBorder="1" applyAlignment="1">
      <alignment horizontal="center" vertical="center" wrapText="1"/>
    </xf>
    <xf numFmtId="43" fontId="26" fillId="7" borderId="18" xfId="1" applyFont="1" applyFill="1" applyBorder="1" applyAlignment="1">
      <alignment horizontal="center" vertical="center" wrapText="1"/>
    </xf>
    <xf numFmtId="0" fontId="25" fillId="7" borderId="18" xfId="0" applyFont="1" applyFill="1" applyBorder="1" applyAlignment="1">
      <alignment wrapText="1"/>
    </xf>
    <xf numFmtId="0" fontId="25" fillId="10" borderId="0" xfId="0" applyFont="1" applyFill="1"/>
    <xf numFmtId="0" fontId="25" fillId="10" borderId="18" xfId="0" applyFont="1" applyFill="1" applyBorder="1"/>
    <xf numFmtId="3" fontId="26" fillId="7" borderId="18" xfId="0" applyNumberFormat="1" applyFont="1" applyFill="1" applyBorder="1" applyAlignment="1">
      <alignment horizontal="center" vertical="center"/>
    </xf>
    <xf numFmtId="0" fontId="26" fillId="7" borderId="21" xfId="0" applyFont="1" applyFill="1" applyBorder="1" applyAlignment="1">
      <alignment horizontal="center" vertical="center" wrapText="1"/>
    </xf>
    <xf numFmtId="164" fontId="27" fillId="10" borderId="0" xfId="0" applyNumberFormat="1" applyFont="1" applyFill="1"/>
    <xf numFmtId="0" fontId="27" fillId="10" borderId="0" xfId="0" applyFont="1" applyFill="1"/>
    <xf numFmtId="0" fontId="26" fillId="10" borderId="18" xfId="0" applyFont="1" applyFill="1" applyBorder="1" applyAlignment="1">
      <alignment horizontal="justify" vertical="center" wrapText="1"/>
    </xf>
    <xf numFmtId="0" fontId="26" fillId="10" borderId="18" xfId="0" applyFont="1" applyFill="1" applyBorder="1" applyAlignment="1">
      <alignment horizontal="center" vertical="center" wrapText="1"/>
    </xf>
    <xf numFmtId="164" fontId="26" fillId="10" borderId="18" xfId="0" applyNumberFormat="1" applyFont="1" applyFill="1" applyBorder="1" applyAlignment="1">
      <alignment horizontal="center" vertical="center" wrapText="1"/>
    </xf>
    <xf numFmtId="43" fontId="26" fillId="10" borderId="18" xfId="1" applyFont="1" applyFill="1" applyBorder="1" applyAlignment="1">
      <alignment horizontal="center" vertical="center" wrapText="1"/>
    </xf>
    <xf numFmtId="0" fontId="25" fillId="0" borderId="18" xfId="0" applyFont="1" applyBorder="1" applyAlignment="1">
      <alignment wrapText="1"/>
    </xf>
    <xf numFmtId="0" fontId="10" fillId="10" borderId="0" xfId="0" applyFont="1" applyFill="1" applyAlignment="1">
      <alignment wrapText="1"/>
    </xf>
    <xf numFmtId="0" fontId="26" fillId="0" borderId="18" xfId="0" applyFont="1" applyBorder="1" applyAlignment="1">
      <alignment horizontal="justify" vertical="center" wrapText="1"/>
    </xf>
    <xf numFmtId="0" fontId="26" fillId="10" borderId="18" xfId="0" applyFont="1" applyFill="1" applyBorder="1" applyAlignment="1">
      <alignment horizontal="center" vertical="center"/>
    </xf>
    <xf numFmtId="43" fontId="26" fillId="10" borderId="18" xfId="1" applyFont="1" applyFill="1" applyBorder="1" applyAlignment="1">
      <alignment horizontal="center" vertical="center"/>
    </xf>
    <xf numFmtId="0" fontId="25" fillId="10" borderId="18" xfId="0" applyFont="1" applyFill="1" applyBorder="1" applyAlignment="1">
      <alignment wrapText="1"/>
    </xf>
    <xf numFmtId="0" fontId="25" fillId="0" borderId="18" xfId="0" applyFont="1" applyBorder="1"/>
    <xf numFmtId="0" fontId="26" fillId="10" borderId="22" xfId="0" applyFont="1" applyFill="1" applyBorder="1" applyAlignment="1">
      <alignment horizontal="justify" vertical="center" wrapText="1"/>
    </xf>
    <xf numFmtId="0" fontId="26" fillId="10" borderId="22" xfId="0" applyFont="1" applyFill="1" applyBorder="1" applyAlignment="1">
      <alignment horizontal="center" vertical="center"/>
    </xf>
    <xf numFmtId="0" fontId="27" fillId="0" borderId="0" xfId="0" applyFont="1"/>
    <xf numFmtId="0" fontId="26" fillId="0" borderId="21" xfId="0" applyFont="1" applyBorder="1" applyAlignment="1">
      <alignment horizontal="justify" vertical="center" wrapText="1"/>
    </xf>
    <xf numFmtId="0" fontId="26" fillId="0" borderId="18" xfId="0" applyFont="1" applyBorder="1" applyAlignment="1">
      <alignment horizontal="center" vertical="center" wrapText="1"/>
    </xf>
    <xf numFmtId="0" fontId="26" fillId="0" borderId="18" xfId="0" applyFont="1" applyBorder="1" applyAlignment="1">
      <alignment horizontal="center" vertical="center"/>
    </xf>
    <xf numFmtId="164" fontId="26" fillId="0" borderId="18" xfId="0" applyNumberFormat="1" applyFont="1" applyBorder="1" applyAlignment="1">
      <alignment horizontal="center" vertical="center" wrapText="1"/>
    </xf>
    <xf numFmtId="43" fontId="26" fillId="0" borderId="18" xfId="1" applyFont="1" applyBorder="1" applyAlignment="1">
      <alignment horizontal="center" vertical="center" wrapText="1"/>
    </xf>
    <xf numFmtId="164" fontId="26" fillId="0" borderId="18" xfId="0" applyNumberFormat="1" applyFont="1" applyBorder="1" applyAlignment="1">
      <alignment horizontal="center"/>
    </xf>
    <xf numFmtId="164" fontId="26" fillId="0" borderId="18" xfId="0" applyNumberFormat="1" applyFont="1" applyBorder="1" applyAlignment="1">
      <alignment horizontal="center" vertical="center"/>
    </xf>
    <xf numFmtId="0" fontId="26" fillId="7" borderId="18" xfId="0" applyFont="1" applyFill="1" applyBorder="1" applyAlignment="1">
      <alignment vertical="center" wrapText="1"/>
    </xf>
    <xf numFmtId="0" fontId="26" fillId="7" borderId="18" xfId="0" applyFont="1" applyFill="1" applyBorder="1" applyAlignment="1">
      <alignment horizontal="center" vertical="center" wrapText="1"/>
    </xf>
    <xf numFmtId="0" fontId="28" fillId="6" borderId="18" xfId="0" applyFont="1" applyFill="1" applyBorder="1"/>
    <xf numFmtId="0" fontId="28" fillId="6" borderId="19" xfId="0" applyFont="1" applyFill="1" applyBorder="1" applyAlignment="1">
      <alignment horizontal="center" vertical="center"/>
    </xf>
    <xf numFmtId="43" fontId="21" fillId="6" borderId="18" xfId="1" applyFont="1" applyFill="1" applyBorder="1" applyAlignment="1">
      <alignment horizontal="center"/>
    </xf>
    <xf numFmtId="164" fontId="21" fillId="6" borderId="18" xfId="0" applyNumberFormat="1" applyFont="1" applyFill="1" applyBorder="1" applyAlignment="1">
      <alignment horizontal="center"/>
    </xf>
    <xf numFmtId="164" fontId="10" fillId="0" borderId="0" xfId="0" applyNumberFormat="1" applyFont="1"/>
    <xf numFmtId="43" fontId="25" fillId="7" borderId="18" xfId="1" applyFont="1" applyFill="1" applyBorder="1" applyAlignment="1">
      <alignment horizontal="center" vertical="center" wrapText="1"/>
    </xf>
    <xf numFmtId="43" fontId="26" fillId="7" borderId="18" xfId="1" applyFont="1" applyFill="1" applyBorder="1" applyAlignment="1">
      <alignment horizontal="center" vertical="center"/>
    </xf>
    <xf numFmtId="0" fontId="10" fillId="0" borderId="18" xfId="0" applyFont="1" applyBorder="1" applyAlignment="1">
      <alignment horizontal="justify" vertical="center" wrapText="1"/>
    </xf>
    <xf numFmtId="9" fontId="10" fillId="0" borderId="18" xfId="0" applyNumberFormat="1" applyFont="1" applyBorder="1" applyAlignment="1">
      <alignment horizontal="center" vertical="center"/>
    </xf>
    <xf numFmtId="0" fontId="10" fillId="0" borderId="18" xfId="0" applyFont="1" applyBorder="1" applyAlignment="1">
      <alignment horizontal="center" wrapText="1"/>
    </xf>
    <xf numFmtId="43" fontId="10" fillId="7" borderId="18" xfId="1" applyFont="1" applyFill="1" applyBorder="1" applyAlignment="1">
      <alignment horizontal="center" vertical="center" wrapText="1"/>
    </xf>
    <xf numFmtId="0" fontId="10" fillId="10" borderId="18" xfId="0" applyFont="1" applyFill="1" applyBorder="1" applyAlignment="1">
      <alignment horizontal="justify" vertical="center" wrapText="1"/>
    </xf>
    <xf numFmtId="164" fontId="10" fillId="10" borderId="18" xfId="0" applyNumberFormat="1" applyFont="1" applyFill="1" applyBorder="1" applyAlignment="1">
      <alignment horizontal="center" vertical="center" wrapText="1"/>
    </xf>
    <xf numFmtId="0" fontId="10" fillId="10" borderId="18" xfId="0" applyFont="1" applyFill="1" applyBorder="1" applyAlignment="1">
      <alignment horizontal="justify" vertical="center"/>
    </xf>
    <xf numFmtId="0" fontId="10" fillId="17" borderId="18" xfId="0" applyFont="1" applyFill="1" applyBorder="1" applyAlignment="1">
      <alignment horizontal="center" vertical="center"/>
    </xf>
    <xf numFmtId="164" fontId="10" fillId="7" borderId="18" xfId="1" applyNumberFormat="1" applyFont="1" applyFill="1" applyBorder="1" applyAlignment="1">
      <alignment horizontal="center" vertical="center" wrapText="1"/>
    </xf>
    <xf numFmtId="164" fontId="10" fillId="17" borderId="18" xfId="1" applyNumberFormat="1" applyFont="1" applyFill="1" applyBorder="1" applyAlignment="1">
      <alignment horizontal="center" vertical="center" wrapText="1"/>
    </xf>
    <xf numFmtId="0" fontId="10" fillId="18" borderId="18" xfId="0" applyFont="1" applyFill="1" applyBorder="1" applyAlignment="1">
      <alignment horizontal="left" vertical="center" wrapText="1"/>
    </xf>
    <xf numFmtId="0" fontId="10" fillId="18" borderId="18" xfId="0" applyFont="1" applyFill="1" applyBorder="1" applyAlignment="1">
      <alignment horizontal="center" vertical="center" wrapText="1"/>
    </xf>
    <xf numFmtId="167" fontId="16" fillId="6" borderId="18" xfId="0" applyNumberFormat="1" applyFont="1" applyFill="1" applyBorder="1" applyAlignment="1">
      <alignment horizontal="center" wrapText="1"/>
    </xf>
    <xf numFmtId="43" fontId="16" fillId="6" borderId="18" xfId="1" applyFont="1" applyFill="1" applyBorder="1" applyAlignment="1">
      <alignment horizontal="center"/>
    </xf>
    <xf numFmtId="164" fontId="16" fillId="6" borderId="18" xfId="1" applyNumberFormat="1" applyFont="1" applyFill="1" applyBorder="1" applyAlignment="1">
      <alignment horizontal="center"/>
    </xf>
    <xf numFmtId="164" fontId="16" fillId="6" borderId="18" xfId="0" applyNumberFormat="1" applyFont="1" applyFill="1" applyBorder="1" applyAlignment="1">
      <alignment horizontal="center" wrapText="1"/>
    </xf>
    <xf numFmtId="43" fontId="16" fillId="6" borderId="18" xfId="1" applyFont="1" applyFill="1" applyBorder="1" applyAlignment="1">
      <alignment horizontal="center" wrapText="1"/>
    </xf>
    <xf numFmtId="0" fontId="10" fillId="6" borderId="18" xfId="0" applyFont="1" applyFill="1" applyBorder="1" applyAlignment="1">
      <alignment horizontal="center"/>
    </xf>
    <xf numFmtId="0" fontId="10" fillId="0" borderId="17" xfId="0" applyFont="1" applyBorder="1"/>
    <xf numFmtId="0" fontId="10" fillId="0" borderId="17" xfId="0" applyFont="1" applyBorder="1" applyAlignment="1">
      <alignment horizontal="center"/>
    </xf>
    <xf numFmtId="0" fontId="17" fillId="0" borderId="0" xfId="0" applyFont="1"/>
    <xf numFmtId="0" fontId="17" fillId="0" borderId="0" xfId="0" applyFont="1" applyAlignment="1">
      <alignment horizontal="center" vertical="center"/>
    </xf>
    <xf numFmtId="0" fontId="29" fillId="0" borderId="0" xfId="0" applyFont="1"/>
    <xf numFmtId="0" fontId="20" fillId="0" borderId="0" xfId="0" applyFont="1" applyAlignment="1">
      <alignment horizontal="center" vertical="center"/>
    </xf>
    <xf numFmtId="0" fontId="9" fillId="0" borderId="0" xfId="0" applyFont="1"/>
    <xf numFmtId="0" fontId="10" fillId="0" borderId="18" xfId="0" applyFont="1" applyBorder="1" applyAlignment="1">
      <alignment vertical="center" wrapText="1"/>
    </xf>
    <xf numFmtId="0" fontId="25" fillId="0" borderId="18" xfId="0" applyFont="1" applyBorder="1" applyAlignment="1">
      <alignment horizontal="left" vertical="center" wrapText="1"/>
    </xf>
    <xf numFmtId="0" fontId="10" fillId="7" borderId="21" xfId="0" applyFont="1" applyFill="1" applyBorder="1" applyAlignment="1">
      <alignment horizontal="left" vertical="center"/>
    </xf>
    <xf numFmtId="9" fontId="10" fillId="0" borderId="18" xfId="0" applyNumberFormat="1" applyFont="1" applyBorder="1" applyAlignment="1">
      <alignment horizontal="center" vertical="center" wrapText="1"/>
    </xf>
    <xf numFmtId="0" fontId="16" fillId="6" borderId="18" xfId="0" applyFont="1" applyFill="1" applyBorder="1" applyAlignment="1">
      <alignment horizontal="center"/>
    </xf>
    <xf numFmtId="0" fontId="10" fillId="7" borderId="21" xfId="0" applyFont="1" applyFill="1" applyBorder="1" applyAlignment="1">
      <alignment horizontal="left" vertical="center" wrapText="1"/>
    </xf>
    <xf numFmtId="168" fontId="10" fillId="0" borderId="0" xfId="0" applyNumberFormat="1" applyFont="1" applyAlignment="1">
      <alignment horizontal="center" wrapText="1"/>
    </xf>
    <xf numFmtId="168" fontId="10" fillId="0" borderId="0" xfId="0" applyNumberFormat="1" applyFont="1"/>
    <xf numFmtId="43" fontId="10" fillId="7" borderId="0" xfId="1" applyFont="1" applyFill="1" applyAlignment="1">
      <alignment horizontal="center" vertical="center"/>
    </xf>
    <xf numFmtId="164" fontId="10" fillId="0" borderId="18" xfId="2" applyNumberFormat="1" applyFont="1" applyFill="1" applyBorder="1" applyAlignment="1">
      <alignment horizontal="center" vertical="center" wrapText="1"/>
    </xf>
    <xf numFmtId="43" fontId="10" fillId="0" borderId="18" xfId="1" applyFont="1" applyBorder="1" applyAlignment="1">
      <alignment horizontal="center" vertical="center"/>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3" xfId="0" applyFont="1" applyBorder="1" applyAlignment="1">
      <alignment horizontal="center" vertical="center"/>
    </xf>
    <xf numFmtId="0" fontId="10" fillId="7" borderId="22" xfId="0" applyFont="1" applyFill="1" applyBorder="1" applyAlignment="1">
      <alignment horizontal="center" vertical="center" wrapText="1"/>
    </xf>
    <xf numFmtId="164" fontId="10" fillId="0" borderId="18" xfId="2" applyNumberFormat="1" applyFont="1" applyBorder="1" applyAlignment="1">
      <alignment horizontal="center" vertical="center" wrapText="1"/>
    </xf>
    <xf numFmtId="6" fontId="10" fillId="0" borderId="18" xfId="1" applyNumberFormat="1" applyFont="1" applyBorder="1" applyAlignment="1">
      <alignment horizontal="center" vertical="center"/>
    </xf>
    <xf numFmtId="8" fontId="10" fillId="0" borderId="18" xfId="1" applyNumberFormat="1" applyFont="1" applyBorder="1" applyAlignment="1">
      <alignment horizontal="center" vertical="center"/>
    </xf>
    <xf numFmtId="0" fontId="10" fillId="7" borderId="21" xfId="0" applyFont="1" applyFill="1" applyBorder="1" applyAlignment="1">
      <alignment horizontal="center" vertical="center" wrapText="1"/>
    </xf>
    <xf numFmtId="0" fontId="19" fillId="6" borderId="18" xfId="0" applyFont="1" applyFill="1" applyBorder="1" applyAlignment="1">
      <alignment horizontal="left"/>
    </xf>
    <xf numFmtId="0" fontId="10" fillId="7" borderId="18" xfId="0" applyFont="1" applyFill="1" applyBorder="1" applyAlignment="1">
      <alignment horizontal="justify" vertical="center" wrapText="1"/>
    </xf>
    <xf numFmtId="0" fontId="27" fillId="7" borderId="18" xfId="0" applyFont="1" applyFill="1" applyBorder="1" applyAlignment="1">
      <alignment horizontal="center" vertical="center" wrapText="1"/>
    </xf>
    <xf numFmtId="9" fontId="10" fillId="10" borderId="18" xfId="0" applyNumberFormat="1" applyFont="1" applyFill="1" applyBorder="1" applyAlignment="1">
      <alignment horizontal="center" vertical="center" wrapText="1"/>
    </xf>
    <xf numFmtId="43" fontId="10" fillId="10" borderId="29" xfId="1" applyFont="1" applyFill="1" applyBorder="1" applyAlignment="1">
      <alignment horizontal="center" vertical="center"/>
    </xf>
    <xf numFmtId="43" fontId="10" fillId="7" borderId="19" xfId="1" applyFont="1" applyFill="1" applyBorder="1" applyAlignment="1">
      <alignment horizontal="center" vertical="center"/>
    </xf>
    <xf numFmtId="0" fontId="30" fillId="20" borderId="23" xfId="0" applyFont="1" applyFill="1" applyBorder="1" applyAlignment="1">
      <alignment horizontal="justify" vertical="center" wrapText="1"/>
    </xf>
    <xf numFmtId="0" fontId="30" fillId="20" borderId="23" xfId="0" applyFont="1" applyFill="1" applyBorder="1" applyAlignment="1">
      <alignment horizontal="center" vertical="center"/>
    </xf>
    <xf numFmtId="0" fontId="30" fillId="20" borderId="23" xfId="0" applyFont="1" applyFill="1" applyBorder="1" applyAlignment="1">
      <alignment horizontal="center" vertical="center" wrapText="1"/>
    </xf>
    <xf numFmtId="0" fontId="30" fillId="20" borderId="18" xfId="0" applyFont="1" applyFill="1" applyBorder="1" applyAlignment="1">
      <alignment horizontal="center" vertical="center" wrapText="1"/>
    </xf>
    <xf numFmtId="0" fontId="30" fillId="20" borderId="31" xfId="0" applyFont="1" applyFill="1" applyBorder="1" applyAlignment="1">
      <alignment horizontal="justify" vertical="center" wrapText="1"/>
    </xf>
    <xf numFmtId="0" fontId="30" fillId="20" borderId="31" xfId="0" applyFont="1" applyFill="1" applyBorder="1" applyAlignment="1">
      <alignment horizontal="center" vertical="center" wrapText="1"/>
    </xf>
    <xf numFmtId="0" fontId="30" fillId="7" borderId="32" xfId="0" applyFont="1" applyFill="1" applyBorder="1" applyAlignment="1">
      <alignment horizontal="left" vertical="center" wrapText="1"/>
    </xf>
    <xf numFmtId="0" fontId="10" fillId="7" borderId="31" xfId="0" applyFont="1" applyFill="1" applyBorder="1" applyAlignment="1">
      <alignment horizontal="left" vertical="center" wrapText="1"/>
    </xf>
    <xf numFmtId="0" fontId="30" fillId="7" borderId="31" xfId="0" applyFont="1" applyFill="1" applyBorder="1" applyAlignment="1">
      <alignment horizontal="center" vertical="center" wrapText="1"/>
    </xf>
    <xf numFmtId="9" fontId="30" fillId="7" borderId="31" xfId="0" applyNumberFormat="1" applyFont="1" applyFill="1" applyBorder="1" applyAlignment="1">
      <alignment horizontal="center" vertical="center" wrapText="1"/>
    </xf>
    <xf numFmtId="9" fontId="25" fillId="7" borderId="31" xfId="0" applyNumberFormat="1" applyFont="1" applyFill="1" applyBorder="1" applyAlignment="1">
      <alignment horizontal="center" vertical="center" wrapText="1"/>
    </xf>
    <xf numFmtId="43" fontId="10" fillId="7" borderId="29" xfId="1" applyFont="1" applyFill="1" applyBorder="1" applyAlignment="1">
      <alignment horizontal="right" vertical="center"/>
    </xf>
    <xf numFmtId="0" fontId="30" fillId="7" borderId="18" xfId="0" applyFont="1" applyFill="1" applyBorder="1" applyAlignment="1">
      <alignment horizontal="center" vertical="center" wrapText="1"/>
    </xf>
    <xf numFmtId="0" fontId="10" fillId="10" borderId="21" xfId="0" applyFont="1" applyFill="1" applyBorder="1" applyAlignment="1">
      <alignment horizontal="left" vertical="center" wrapText="1"/>
    </xf>
    <xf numFmtId="0" fontId="10" fillId="10" borderId="21" xfId="0" applyFont="1" applyFill="1" applyBorder="1" applyAlignment="1">
      <alignment horizontal="center" vertical="center"/>
    </xf>
    <xf numFmtId="0" fontId="10" fillId="10" borderId="21" xfId="0" applyFont="1" applyFill="1" applyBorder="1" applyAlignment="1">
      <alignment horizontal="center" vertical="center" wrapText="1"/>
    </xf>
    <xf numFmtId="43" fontId="10" fillId="10" borderId="29" xfId="1" applyFont="1" applyFill="1" applyBorder="1" applyAlignment="1">
      <alignment horizontal="right" vertical="center"/>
    </xf>
    <xf numFmtId="0" fontId="30" fillId="7" borderId="6" xfId="0" applyFont="1" applyFill="1" applyBorder="1" applyAlignment="1">
      <alignment horizontal="left" vertical="center" wrapText="1"/>
    </xf>
    <xf numFmtId="0" fontId="30" fillId="7" borderId="6" xfId="0" applyFont="1" applyFill="1" applyBorder="1" applyAlignment="1">
      <alignment horizontal="center" vertical="center" wrapText="1"/>
    </xf>
    <xf numFmtId="9" fontId="30" fillId="7" borderId="33" xfId="0" applyNumberFormat="1" applyFont="1" applyFill="1" applyBorder="1" applyAlignment="1">
      <alignment horizontal="center" vertical="center" wrapText="1"/>
    </xf>
    <xf numFmtId="0" fontId="30" fillId="7" borderId="34" xfId="0" applyFont="1" applyFill="1" applyBorder="1" applyAlignment="1">
      <alignment wrapText="1"/>
    </xf>
    <xf numFmtId="0" fontId="30" fillId="7" borderId="6" xfId="0" applyFont="1" applyFill="1" applyBorder="1" applyAlignment="1">
      <alignment wrapText="1"/>
    </xf>
    <xf numFmtId="9" fontId="30" fillId="7" borderId="35" xfId="0" applyNumberFormat="1" applyFont="1" applyFill="1" applyBorder="1" applyAlignment="1">
      <alignment horizontal="center" vertical="center" wrapText="1"/>
    </xf>
    <xf numFmtId="43" fontId="10" fillId="7" borderId="19" xfId="1" applyFont="1" applyFill="1" applyBorder="1" applyAlignment="1">
      <alignment horizontal="right" vertical="center" wrapText="1"/>
    </xf>
    <xf numFmtId="0" fontId="10" fillId="10" borderId="21" xfId="0" applyFont="1" applyFill="1" applyBorder="1" applyAlignment="1">
      <alignment horizontal="justify" vertical="center" wrapText="1"/>
    </xf>
    <xf numFmtId="43" fontId="10" fillId="10" borderId="21" xfId="1" applyFont="1" applyFill="1" applyBorder="1" applyAlignment="1">
      <alignment horizontal="right" vertical="center" wrapText="1"/>
    </xf>
    <xf numFmtId="0" fontId="30" fillId="0" borderId="0" xfId="0" applyFont="1" applyAlignment="1">
      <alignment horizontal="justify" vertical="center" wrapText="1"/>
    </xf>
    <xf numFmtId="0" fontId="30" fillId="0" borderId="6" xfId="0" applyFont="1" applyBorder="1" applyAlignment="1">
      <alignment horizontal="justify" vertical="center" wrapText="1"/>
    </xf>
    <xf numFmtId="9" fontId="30" fillId="7" borderId="36" xfId="3" applyFont="1" applyFill="1" applyBorder="1" applyAlignment="1">
      <alignment horizontal="center" vertical="center" wrapText="1"/>
    </xf>
    <xf numFmtId="43" fontId="30" fillId="7" borderId="33" xfId="1" applyFont="1" applyFill="1" applyBorder="1" applyAlignment="1">
      <alignment horizontal="right" vertical="center" wrapText="1"/>
    </xf>
    <xf numFmtId="9" fontId="10" fillId="10" borderId="21" xfId="0" applyNumberFormat="1" applyFont="1" applyFill="1" applyBorder="1" applyAlignment="1">
      <alignment horizontal="center" vertical="center" wrapText="1"/>
    </xf>
    <xf numFmtId="0" fontId="30" fillId="7" borderId="9" xfId="0" applyFont="1" applyFill="1" applyBorder="1" applyAlignment="1">
      <alignment horizontal="left" vertical="center" wrapText="1"/>
    </xf>
    <xf numFmtId="0" fontId="30" fillId="7" borderId="9" xfId="0" applyFont="1" applyFill="1" applyBorder="1" applyAlignment="1">
      <alignment horizontal="center" vertical="center" wrapText="1"/>
    </xf>
    <xf numFmtId="9" fontId="30" fillId="7" borderId="37" xfId="0" applyNumberFormat="1" applyFont="1" applyFill="1" applyBorder="1" applyAlignment="1">
      <alignment horizontal="center" vertical="center" wrapText="1"/>
    </xf>
    <xf numFmtId="43" fontId="30" fillId="7" borderId="37" xfId="1" applyFont="1" applyFill="1" applyBorder="1" applyAlignment="1">
      <alignment horizontal="right" vertical="center" wrapText="1"/>
    </xf>
    <xf numFmtId="9" fontId="30" fillId="7" borderId="21" xfId="3" applyFont="1" applyFill="1" applyBorder="1" applyAlignment="1">
      <alignment horizontal="center" vertical="center" wrapText="1"/>
    </xf>
    <xf numFmtId="0" fontId="25" fillId="20" borderId="18" xfId="0" applyFont="1" applyFill="1" applyBorder="1" applyAlignment="1">
      <alignment horizontal="left" vertical="center" wrapText="1"/>
    </xf>
    <xf numFmtId="0" fontId="30" fillId="20" borderId="18" xfId="0" applyFont="1" applyFill="1" applyBorder="1" applyAlignment="1">
      <alignment horizontal="left" vertical="center" wrapText="1"/>
    </xf>
    <xf numFmtId="9" fontId="30" fillId="20" borderId="18" xfId="0" applyNumberFormat="1" applyFont="1" applyFill="1" applyBorder="1" applyAlignment="1">
      <alignment horizontal="center" vertical="center" wrapText="1"/>
    </xf>
    <xf numFmtId="43" fontId="10" fillId="10" borderId="18" xfId="1" applyFont="1" applyFill="1" applyBorder="1" applyAlignment="1">
      <alignment horizontal="right" vertical="center" wrapText="1"/>
    </xf>
    <xf numFmtId="0" fontId="20" fillId="0" borderId="19" xfId="0" applyFont="1" applyBorder="1"/>
    <xf numFmtId="0" fontId="20" fillId="0" borderId="20" xfId="0" applyFont="1" applyBorder="1"/>
    <xf numFmtId="0" fontId="20" fillId="0" borderId="20" xfId="0" applyFont="1" applyBorder="1" applyAlignment="1">
      <alignment horizontal="center" vertical="center"/>
    </xf>
    <xf numFmtId="0" fontId="20" fillId="0" borderId="20" xfId="0" applyFont="1" applyBorder="1" applyAlignment="1">
      <alignment horizontal="center" wrapText="1"/>
    </xf>
    <xf numFmtId="0" fontId="20" fillId="0" borderId="23" xfId="0" applyFont="1" applyBorder="1" applyAlignment="1">
      <alignment vertical="center" wrapText="1"/>
    </xf>
    <xf numFmtId="0" fontId="10" fillId="7" borderId="21" xfId="0" applyFont="1" applyFill="1" applyBorder="1" applyAlignment="1">
      <alignment horizontal="center" vertical="center"/>
    </xf>
    <xf numFmtId="164" fontId="10" fillId="7" borderId="21" xfId="0" applyNumberFormat="1" applyFont="1" applyFill="1" applyBorder="1" applyAlignment="1">
      <alignment horizontal="center" vertical="center"/>
    </xf>
    <xf numFmtId="43" fontId="10" fillId="7" borderId="21" xfId="1" applyFont="1" applyFill="1" applyBorder="1" applyAlignment="1">
      <alignment horizontal="center" vertical="center"/>
    </xf>
    <xf numFmtId="0" fontId="16" fillId="6" borderId="23" xfId="0" applyFont="1" applyFill="1" applyBorder="1" applyAlignment="1">
      <alignment horizontal="center" vertical="center"/>
    </xf>
    <xf numFmtId="0" fontId="31" fillId="6" borderId="18" xfId="0" applyFont="1" applyFill="1" applyBorder="1"/>
    <xf numFmtId="0" fontId="31" fillId="6" borderId="18" xfId="0" applyFont="1" applyFill="1" applyBorder="1" applyAlignment="1">
      <alignment horizontal="center" wrapText="1"/>
    </xf>
    <xf numFmtId="164" fontId="16" fillId="6" borderId="18" xfId="0" applyNumberFormat="1" applyFont="1" applyFill="1" applyBorder="1" applyAlignment="1">
      <alignment horizontal="center"/>
    </xf>
    <xf numFmtId="0" fontId="31" fillId="6" borderId="18" xfId="0" applyFont="1" applyFill="1" applyBorder="1" applyAlignment="1">
      <alignment vertical="center" wrapText="1"/>
    </xf>
    <xf numFmtId="0" fontId="25" fillId="0" borderId="18" xfId="0" applyFont="1" applyBorder="1" applyAlignment="1">
      <alignment vertical="center"/>
    </xf>
    <xf numFmtId="0" fontId="25" fillId="7" borderId="18" xfId="0" applyFont="1" applyFill="1" applyBorder="1" applyAlignment="1">
      <alignment horizontal="center" vertical="center"/>
    </xf>
    <xf numFmtId="0" fontId="25" fillId="10" borderId="18" xfId="1" applyNumberFormat="1" applyFont="1" applyFill="1" applyBorder="1" applyAlignment="1">
      <alignment horizontal="center" vertical="center" wrapText="1"/>
    </xf>
    <xf numFmtId="0" fontId="25" fillId="10" borderId="18" xfId="0" applyFont="1" applyFill="1" applyBorder="1" applyAlignment="1">
      <alignment horizontal="center" vertical="center"/>
    </xf>
    <xf numFmtId="164" fontId="25" fillId="7" borderId="18" xfId="1" applyNumberFormat="1" applyFont="1" applyFill="1" applyBorder="1" applyAlignment="1">
      <alignment horizontal="center" vertical="center" wrapText="1"/>
    </xf>
    <xf numFmtId="164" fontId="25" fillId="7" borderId="18" xfId="1" applyNumberFormat="1" applyFont="1" applyFill="1" applyBorder="1" applyAlignment="1">
      <alignment horizontal="center" vertical="center"/>
    </xf>
    <xf numFmtId="164" fontId="25" fillId="7" borderId="18" xfId="0" applyNumberFormat="1" applyFont="1" applyFill="1" applyBorder="1" applyAlignment="1">
      <alignment horizontal="center" vertical="center"/>
    </xf>
    <xf numFmtId="0" fontId="25" fillId="10" borderId="22" xfId="0" applyFont="1" applyFill="1" applyBorder="1" applyAlignment="1">
      <alignment horizontal="left" vertical="center" wrapText="1"/>
    </xf>
    <xf numFmtId="0" fontId="25" fillId="10" borderId="22" xfId="0" applyFont="1" applyFill="1" applyBorder="1" applyAlignment="1">
      <alignment horizontal="center" vertical="center" wrapText="1"/>
    </xf>
    <xf numFmtId="164" fontId="25" fillId="10" borderId="18" xfId="1" applyNumberFormat="1" applyFont="1" applyFill="1" applyBorder="1" applyAlignment="1">
      <alignment horizontal="center" vertical="center" wrapText="1"/>
    </xf>
    <xf numFmtId="164" fontId="25" fillId="10" borderId="18" xfId="1" applyNumberFormat="1" applyFont="1" applyFill="1" applyBorder="1" applyAlignment="1">
      <alignment horizontal="center" vertical="center"/>
    </xf>
    <xf numFmtId="164" fontId="25" fillId="10" borderId="18" xfId="0" applyNumberFormat="1" applyFont="1" applyFill="1" applyBorder="1" applyAlignment="1">
      <alignment horizontal="center" vertical="center"/>
    </xf>
    <xf numFmtId="0" fontId="25" fillId="7" borderId="18" xfId="1" applyNumberFormat="1" applyFont="1" applyFill="1" applyBorder="1" applyAlignment="1">
      <alignment horizontal="center" vertical="center" wrapText="1"/>
    </xf>
    <xf numFmtId="0" fontId="10" fillId="0" borderId="23" xfId="0" applyFont="1" applyBorder="1"/>
    <xf numFmtId="43" fontId="25" fillId="10" borderId="18" xfId="1" applyFont="1" applyFill="1" applyBorder="1" applyAlignment="1">
      <alignment horizontal="center" vertical="center" wrapText="1"/>
    </xf>
    <xf numFmtId="165" fontId="27" fillId="10" borderId="0" xfId="0" applyNumberFormat="1" applyFont="1" applyFill="1" applyAlignment="1">
      <alignment horizontal="center" vertical="center"/>
    </xf>
    <xf numFmtId="164" fontId="25" fillId="10" borderId="18" xfId="0" applyNumberFormat="1" applyFont="1" applyFill="1" applyBorder="1" applyAlignment="1">
      <alignment horizontal="center" vertical="center" wrapText="1"/>
    </xf>
    <xf numFmtId="43" fontId="25" fillId="10" borderId="18" xfId="1" applyFont="1" applyFill="1" applyBorder="1" applyAlignment="1">
      <alignment horizontal="center" vertical="center"/>
    </xf>
    <xf numFmtId="0" fontId="9" fillId="0" borderId="0" xfId="0" applyFont="1" applyAlignment="1">
      <alignment horizontal="center" vertical="center"/>
    </xf>
    <xf numFmtId="43" fontId="10" fillId="0" borderId="0" xfId="0" applyNumberFormat="1" applyFont="1"/>
    <xf numFmtId="164" fontId="21" fillId="6" borderId="18" xfId="0" applyNumberFormat="1" applyFont="1" applyFill="1" applyBorder="1" applyAlignment="1">
      <alignment horizontal="center" vertical="center"/>
    </xf>
    <xf numFmtId="43" fontId="25" fillId="7" borderId="18" xfId="1" applyFont="1" applyFill="1" applyBorder="1" applyAlignment="1">
      <alignment horizontal="center" vertical="center"/>
    </xf>
    <xf numFmtId="164" fontId="33" fillId="0" borderId="0" xfId="0" applyNumberFormat="1"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left" vertical="center"/>
    </xf>
    <xf numFmtId="9" fontId="10" fillId="0" borderId="18" xfId="3" applyFont="1" applyBorder="1" applyAlignment="1">
      <alignment horizontal="center" vertical="center"/>
    </xf>
    <xf numFmtId="9" fontId="10" fillId="7" borderId="24" xfId="0" applyNumberFormat="1" applyFont="1" applyFill="1" applyBorder="1" applyAlignment="1">
      <alignment horizontal="center" vertical="center"/>
    </xf>
    <xf numFmtId="9" fontId="10" fillId="7" borderId="24" xfId="0" applyNumberFormat="1" applyFont="1" applyFill="1" applyBorder="1" applyAlignment="1">
      <alignment horizontal="center" vertical="center" wrapText="1"/>
    </xf>
    <xf numFmtId="1" fontId="10" fillId="7" borderId="18" xfId="0" applyNumberFormat="1" applyFont="1" applyFill="1" applyBorder="1" applyAlignment="1">
      <alignment horizontal="center" vertical="center"/>
    </xf>
    <xf numFmtId="44" fontId="10" fillId="7" borderId="18" xfId="2" applyFont="1" applyFill="1" applyBorder="1" applyAlignment="1">
      <alignment horizontal="center" vertical="center" wrapText="1"/>
    </xf>
    <xf numFmtId="44" fontId="10" fillId="10" borderId="18" xfId="2" applyFont="1" applyFill="1" applyBorder="1" applyAlignment="1">
      <alignment horizontal="center" vertical="center" wrapText="1"/>
    </xf>
    <xf numFmtId="0" fontId="10" fillId="10" borderId="18" xfId="0" applyFont="1" applyFill="1" applyBorder="1" applyAlignment="1">
      <alignment vertical="center"/>
    </xf>
    <xf numFmtId="164" fontId="16" fillId="6" borderId="18" xfId="2" applyNumberFormat="1" applyFont="1" applyFill="1" applyBorder="1" applyAlignment="1">
      <alignment horizontal="center" vertical="center"/>
    </xf>
    <xf numFmtId="44" fontId="10" fillId="0" borderId="0" xfId="2" applyFont="1" applyAlignment="1">
      <alignment horizontal="center" wrapText="1"/>
    </xf>
    <xf numFmtId="44" fontId="10" fillId="0" borderId="0" xfId="2" applyFont="1"/>
    <xf numFmtId="164" fontId="10" fillId="7" borderId="18" xfId="2" applyNumberFormat="1" applyFont="1" applyFill="1" applyBorder="1" applyAlignment="1">
      <alignment horizontal="center" vertical="center" wrapText="1"/>
    </xf>
    <xf numFmtId="4" fontId="10" fillId="7" borderId="18" xfId="0" applyNumberFormat="1" applyFont="1" applyFill="1" applyBorder="1" applyAlignment="1">
      <alignment horizontal="center" vertical="center" wrapText="1"/>
    </xf>
    <xf numFmtId="4" fontId="10" fillId="0" borderId="18" xfId="0" applyNumberFormat="1" applyFont="1" applyBorder="1" applyAlignment="1">
      <alignment vertical="center"/>
    </xf>
    <xf numFmtId="0" fontId="10" fillId="6" borderId="18" xfId="0" applyFont="1" applyFill="1" applyBorder="1"/>
    <xf numFmtId="0" fontId="0" fillId="0" borderId="0" xfId="0" applyAlignment="1">
      <alignment wrapText="1"/>
    </xf>
    <xf numFmtId="0" fontId="31" fillId="6" borderId="18" xfId="0" applyFont="1" applyFill="1" applyBorder="1" applyAlignment="1">
      <alignment vertical="center"/>
    </xf>
    <xf numFmtId="0" fontId="25" fillId="0" borderId="18" xfId="0" applyFont="1" applyBorder="1" applyAlignment="1">
      <alignment vertical="center" wrapText="1"/>
    </xf>
    <xf numFmtId="0" fontId="16" fillId="6" borderId="18" xfId="0" applyFont="1" applyFill="1" applyBorder="1" applyAlignment="1">
      <alignment vertical="center" wrapText="1"/>
    </xf>
    <xf numFmtId="4" fontId="16" fillId="6" borderId="18" xfId="0" applyNumberFormat="1" applyFont="1" applyFill="1" applyBorder="1" applyAlignment="1">
      <alignment horizontal="right" vertical="center" wrapText="1"/>
    </xf>
    <xf numFmtId="4" fontId="10" fillId="10" borderId="18" xfId="0" applyNumberFormat="1" applyFont="1" applyFill="1" applyBorder="1" applyAlignment="1">
      <alignment vertical="center"/>
    </xf>
    <xf numFmtId="4" fontId="16" fillId="6" borderId="18" xfId="0" applyNumberFormat="1" applyFont="1" applyFill="1" applyBorder="1" applyAlignment="1">
      <alignment vertical="center" wrapText="1"/>
    </xf>
    <xf numFmtId="0" fontId="38" fillId="6" borderId="28" xfId="0" applyFont="1" applyFill="1" applyBorder="1" applyAlignment="1">
      <alignment horizontal="center"/>
    </xf>
    <xf numFmtId="0" fontId="38" fillId="6" borderId="28" xfId="0" applyFont="1" applyFill="1" applyBorder="1" applyAlignment="1">
      <alignment horizontal="center" wrapText="1"/>
    </xf>
    <xf numFmtId="0" fontId="39" fillId="0" borderId="59" xfId="0" applyFont="1" applyBorder="1"/>
    <xf numFmtId="0" fontId="39" fillId="0" borderId="56" xfId="0" applyFont="1" applyBorder="1" applyAlignment="1">
      <alignment wrapText="1"/>
    </xf>
    <xf numFmtId="4" fontId="39" fillId="0" borderId="56" xfId="0" applyNumberFormat="1" applyFont="1" applyBorder="1" applyAlignment="1">
      <alignment horizontal="right"/>
    </xf>
    <xf numFmtId="0" fontId="31" fillId="0" borderId="0" xfId="0" applyFont="1"/>
    <xf numFmtId="9" fontId="31" fillId="0" borderId="0" xfId="3" applyFont="1" applyAlignment="1">
      <alignment horizontal="center"/>
    </xf>
    <xf numFmtId="0" fontId="39" fillId="0" borderId="56" xfId="0" applyFont="1" applyBorder="1"/>
    <xf numFmtId="4" fontId="38" fillId="6" borderId="56" xfId="0" applyNumberFormat="1" applyFont="1" applyFill="1" applyBorder="1" applyAlignment="1">
      <alignment horizontal="right"/>
    </xf>
    <xf numFmtId="0" fontId="39" fillId="0" borderId="59" xfId="0" applyFont="1" applyBorder="1" applyAlignment="1">
      <alignment vertical="center"/>
    </xf>
    <xf numFmtId="4" fontId="39" fillId="0" borderId="56" xfId="0" applyNumberFormat="1" applyFont="1" applyBorder="1" applyAlignment="1">
      <alignment horizontal="right" vertical="center"/>
    </xf>
    <xf numFmtId="9" fontId="10" fillId="0" borderId="0" xfId="3" applyFont="1"/>
    <xf numFmtId="9" fontId="31" fillId="0" borderId="0" xfId="3" applyFont="1"/>
    <xf numFmtId="0" fontId="9" fillId="0" borderId="0" xfId="0" applyFont="1" applyAlignment="1">
      <alignment wrapText="1"/>
    </xf>
    <xf numFmtId="0" fontId="38" fillId="6" borderId="26" xfId="0" applyFont="1" applyFill="1" applyBorder="1" applyAlignment="1">
      <alignment horizontal="center"/>
    </xf>
    <xf numFmtId="0" fontId="38" fillId="6" borderId="26" xfId="0" applyFont="1" applyFill="1" applyBorder="1" applyAlignment="1">
      <alignment horizontal="center" wrapText="1"/>
    </xf>
    <xf numFmtId="0" fontId="13" fillId="0" borderId="59" xfId="0" applyFont="1" applyBorder="1"/>
    <xf numFmtId="0" fontId="40" fillId="0" borderId="56" xfId="0" applyFont="1" applyBorder="1"/>
    <xf numFmtId="0" fontId="31" fillId="10" borderId="0" xfId="0" applyFont="1" applyFill="1"/>
    <xf numFmtId="9" fontId="31" fillId="10" borderId="0" xfId="3" applyFont="1" applyFill="1"/>
    <xf numFmtId="10" fontId="31" fillId="10" borderId="0" xfId="3" applyNumberFormat="1" applyFont="1" applyFill="1"/>
    <xf numFmtId="0" fontId="38" fillId="6" borderId="59" xfId="0" applyFont="1" applyFill="1" applyBorder="1"/>
    <xf numFmtId="0" fontId="41" fillId="0" borderId="59" xfId="0" applyFont="1" applyBorder="1"/>
    <xf numFmtId="9" fontId="31" fillId="10" borderId="0" xfId="0" applyNumberFormat="1" applyFont="1" applyFill="1"/>
    <xf numFmtId="0" fontId="38" fillId="6" borderId="59" xfId="0" applyFont="1" applyFill="1" applyBorder="1" applyAlignment="1">
      <alignment horizontal="center"/>
    </xf>
    <xf numFmtId="0" fontId="31" fillId="0" borderId="0" xfId="3" applyNumberFormat="1" applyFont="1"/>
    <xf numFmtId="0" fontId="10" fillId="7" borderId="18" xfId="0" applyFont="1" applyFill="1" applyBorder="1" applyAlignment="1">
      <alignment horizontal="left" wrapText="1"/>
    </xf>
    <xf numFmtId="0" fontId="10" fillId="0" borderId="18" xfId="0" applyFont="1" applyBorder="1" applyAlignment="1">
      <alignment horizontal="left" wrapText="1"/>
    </xf>
    <xf numFmtId="0" fontId="16" fillId="6" borderId="18" xfId="0" applyFont="1" applyFill="1" applyBorder="1" applyAlignment="1">
      <alignment horizontal="right"/>
    </xf>
    <xf numFmtId="164" fontId="10" fillId="7" borderId="18" xfId="0" applyNumberFormat="1" applyFont="1" applyFill="1" applyBorder="1" applyAlignment="1">
      <alignment horizontal="center" wrapText="1"/>
    </xf>
    <xf numFmtId="164" fontId="10" fillId="0" borderId="18" xfId="0" applyNumberFormat="1" applyFont="1" applyBorder="1" applyAlignment="1">
      <alignment horizontal="center" wrapText="1"/>
    </xf>
    <xf numFmtId="43" fontId="10" fillId="0" borderId="18" xfId="1" applyFont="1" applyBorder="1" applyAlignment="1">
      <alignment horizontal="center" wrapText="1"/>
    </xf>
    <xf numFmtId="43" fontId="10" fillId="7" borderId="18" xfId="1" applyFont="1" applyFill="1" applyBorder="1" applyAlignment="1">
      <alignment horizontal="center" wrapText="1"/>
    </xf>
    <xf numFmtId="3" fontId="31" fillId="0" borderId="0" xfId="0" applyNumberFormat="1" applyFont="1"/>
    <xf numFmtId="164" fontId="31" fillId="0" borderId="0" xfId="0" applyNumberFormat="1" applyFont="1"/>
    <xf numFmtId="0" fontId="10" fillId="10" borderId="22" xfId="0" applyFont="1" applyFill="1" applyBorder="1" applyAlignment="1">
      <alignment horizontal="center" vertical="center" wrapText="1"/>
    </xf>
    <xf numFmtId="0" fontId="10" fillId="7" borderId="22" xfId="0" applyFont="1" applyFill="1" applyBorder="1" applyAlignment="1">
      <alignment horizontal="left" vertical="center" wrapText="1"/>
    </xf>
    <xf numFmtId="0" fontId="10" fillId="0" borderId="25" xfId="0" applyFont="1" applyBorder="1" applyAlignment="1">
      <alignment horizontal="center" vertical="center" wrapText="1"/>
    </xf>
    <xf numFmtId="44" fontId="10" fillId="7" borderId="21" xfId="2" applyFont="1" applyFill="1" applyBorder="1" applyAlignment="1">
      <alignment horizontal="center" vertical="center" wrapText="1"/>
    </xf>
    <xf numFmtId="0" fontId="24" fillId="0" borderId="0" xfId="0" applyFont="1" applyAlignment="1">
      <alignment horizontal="center"/>
    </xf>
    <xf numFmtId="0" fontId="0" fillId="0" borderId="0" xfId="0" applyAlignment="1">
      <alignment horizontal="center"/>
    </xf>
    <xf numFmtId="0" fontId="18" fillId="21" borderId="18" xfId="0" applyFont="1" applyFill="1" applyBorder="1" applyAlignment="1">
      <alignment horizontal="left" vertical="center"/>
    </xf>
    <xf numFmtId="0" fontId="16" fillId="22" borderId="18" xfId="0" applyFont="1" applyFill="1" applyBorder="1" applyAlignment="1">
      <alignment horizontal="center" vertical="center" wrapText="1"/>
    </xf>
    <xf numFmtId="0" fontId="16" fillId="22" borderId="22" xfId="0" applyFont="1" applyFill="1" applyBorder="1" applyAlignment="1">
      <alignment horizontal="center" vertical="center" wrapText="1"/>
    </xf>
    <xf numFmtId="44" fontId="10" fillId="7" borderId="18" xfId="0" applyNumberFormat="1" applyFont="1" applyFill="1" applyBorder="1" applyAlignment="1">
      <alignment horizontal="center" vertical="center"/>
    </xf>
    <xf numFmtId="44" fontId="10" fillId="0" borderId="18" xfId="0" applyNumberFormat="1" applyFont="1" applyBorder="1" applyAlignment="1">
      <alignment horizontal="center" vertical="center"/>
    </xf>
    <xf numFmtId="44" fontId="10" fillId="10" borderId="18" xfId="0" applyNumberFormat="1" applyFont="1" applyFill="1" applyBorder="1" applyAlignment="1">
      <alignment horizontal="center" vertical="center"/>
    </xf>
    <xf numFmtId="0" fontId="18" fillId="21" borderId="18" xfId="0" applyFont="1" applyFill="1" applyBorder="1" applyAlignment="1">
      <alignment horizontal="left"/>
    </xf>
    <xf numFmtId="44" fontId="10" fillId="0" borderId="18" xfId="2" applyFont="1" applyBorder="1" applyAlignment="1">
      <alignment horizontal="center" vertical="center" wrapText="1"/>
    </xf>
    <xf numFmtId="0" fontId="0" fillId="10" borderId="18" xfId="0" applyFill="1" applyBorder="1" applyAlignment="1">
      <alignment vertical="center" wrapText="1"/>
    </xf>
    <xf numFmtId="164" fontId="10" fillId="10" borderId="18" xfId="0" applyNumberFormat="1" applyFont="1" applyFill="1" applyBorder="1" applyAlignment="1">
      <alignment vertical="center"/>
    </xf>
    <xf numFmtId="0" fontId="18" fillId="21" borderId="18" xfId="0" applyFont="1" applyFill="1" applyBorder="1" applyAlignment="1">
      <alignment horizontal="left" wrapText="1"/>
    </xf>
    <xf numFmtId="1" fontId="10" fillId="0" borderId="18" xfId="0" applyNumberFormat="1" applyFont="1" applyBorder="1" applyAlignment="1">
      <alignment horizontal="center" vertical="center" wrapText="1"/>
    </xf>
    <xf numFmtId="9" fontId="10" fillId="10" borderId="18" xfId="0" applyNumberFormat="1" applyFont="1" applyFill="1" applyBorder="1" applyAlignment="1">
      <alignment horizontal="left" vertical="center" wrapText="1"/>
    </xf>
    <xf numFmtId="9" fontId="10" fillId="10" borderId="18" xfId="0" applyNumberFormat="1" applyFont="1" applyFill="1" applyBorder="1" applyAlignment="1">
      <alignment vertical="center"/>
    </xf>
    <xf numFmtId="9" fontId="10" fillId="10" borderId="18" xfId="0" applyNumberFormat="1" applyFont="1" applyFill="1" applyBorder="1" applyAlignment="1">
      <alignment horizontal="left" vertical="center"/>
    </xf>
    <xf numFmtId="0" fontId="10" fillId="11" borderId="18" xfId="0" applyFont="1" applyFill="1" applyBorder="1" applyAlignment="1">
      <alignment vertical="center" wrapText="1"/>
    </xf>
    <xf numFmtId="0" fontId="10" fillId="11" borderId="18" xfId="0" applyFont="1" applyFill="1" applyBorder="1" applyAlignment="1">
      <alignment horizontal="center" vertical="center" wrapText="1"/>
    </xf>
    <xf numFmtId="164" fontId="10" fillId="11" borderId="18" xfId="0" applyNumberFormat="1" applyFont="1" applyFill="1" applyBorder="1" applyAlignment="1">
      <alignment horizontal="center" vertical="center"/>
    </xf>
    <xf numFmtId="0" fontId="10" fillId="7" borderId="18" xfId="0" applyFont="1" applyFill="1" applyBorder="1" applyAlignment="1">
      <alignment wrapText="1"/>
    </xf>
    <xf numFmtId="164" fontId="10" fillId="10" borderId="18" xfId="2" applyNumberFormat="1" applyFont="1" applyFill="1" applyBorder="1" applyAlignment="1">
      <alignment horizontal="center" vertical="center" wrapText="1"/>
    </xf>
    <xf numFmtId="4" fontId="10" fillId="10" borderId="18" xfId="0" applyNumberFormat="1" applyFont="1" applyFill="1" applyBorder="1" applyAlignment="1">
      <alignment horizontal="center" vertical="center" wrapText="1"/>
    </xf>
    <xf numFmtId="4" fontId="10" fillId="7" borderId="18" xfId="0" applyNumberFormat="1" applyFont="1" applyFill="1" applyBorder="1" applyAlignment="1">
      <alignment vertical="center"/>
    </xf>
    <xf numFmtId="44" fontId="10" fillId="0" borderId="18" xfId="2" applyFont="1" applyBorder="1"/>
    <xf numFmtId="9" fontId="0" fillId="0" borderId="0" xfId="3" applyFont="1"/>
    <xf numFmtId="43" fontId="0" fillId="0" borderId="0" xfId="1" applyFont="1"/>
    <xf numFmtId="0" fontId="46" fillId="7" borderId="42" xfId="0" applyFont="1" applyFill="1" applyBorder="1" applyAlignment="1">
      <alignment horizontal="left" vertical="center" wrapText="1"/>
    </xf>
    <xf numFmtId="0" fontId="46" fillId="7" borderId="42" xfId="0" applyFont="1" applyFill="1" applyBorder="1" applyAlignment="1">
      <alignment horizontal="center" vertical="center" wrapText="1"/>
    </xf>
    <xf numFmtId="10" fontId="46" fillId="7" borderId="42" xfId="0" applyNumberFormat="1" applyFont="1" applyFill="1" applyBorder="1" applyAlignment="1">
      <alignment horizontal="center" vertical="center" wrapText="1"/>
    </xf>
    <xf numFmtId="0" fontId="0" fillId="7" borderId="43" xfId="0" applyFill="1" applyBorder="1" applyAlignment="1">
      <alignment horizontal="center" vertical="center" wrapText="1"/>
    </xf>
    <xf numFmtId="0" fontId="46" fillId="7" borderId="22" xfId="0" applyFont="1" applyFill="1" applyBorder="1" applyAlignment="1">
      <alignment horizontal="left" vertical="center" wrapText="1"/>
    </xf>
    <xf numFmtId="0" fontId="46" fillId="7" borderId="22" xfId="0" applyFont="1" applyFill="1" applyBorder="1" applyAlignment="1">
      <alignment horizontal="center" vertical="center" wrapText="1"/>
    </xf>
    <xf numFmtId="9" fontId="46" fillId="7" borderId="22" xfId="0" applyNumberFormat="1" applyFont="1" applyFill="1" applyBorder="1" applyAlignment="1">
      <alignment horizontal="center" vertical="center" wrapText="1"/>
    </xf>
    <xf numFmtId="0" fontId="0" fillId="7" borderId="45" xfId="0" applyFill="1" applyBorder="1" applyAlignment="1">
      <alignment horizontal="center" vertical="center" wrapText="1"/>
    </xf>
    <xf numFmtId="0" fontId="46" fillId="7" borderId="21" xfId="0" applyFont="1" applyFill="1" applyBorder="1" applyAlignment="1">
      <alignment horizontal="left" vertical="center" wrapText="1"/>
    </xf>
    <xf numFmtId="0" fontId="46" fillId="7" borderId="21" xfId="0" applyFont="1" applyFill="1" applyBorder="1" applyAlignment="1">
      <alignment horizontal="center" vertical="center" wrapText="1"/>
    </xf>
    <xf numFmtId="9" fontId="46" fillId="7" borderId="21" xfId="0" applyNumberFormat="1" applyFont="1" applyFill="1" applyBorder="1" applyAlignment="1">
      <alignment horizontal="center" vertical="center" wrapText="1"/>
    </xf>
    <xf numFmtId="0" fontId="0" fillId="7" borderId="62" xfId="0" applyFill="1" applyBorder="1" applyAlignment="1">
      <alignment horizontal="center" vertical="center" wrapText="1"/>
    </xf>
    <xf numFmtId="0" fontId="46" fillId="0" borderId="42" xfId="0" applyFont="1" applyBorder="1" applyAlignment="1">
      <alignment vertical="center"/>
    </xf>
    <xf numFmtId="0" fontId="46" fillId="0" borderId="42" xfId="0" applyFont="1" applyBorder="1" applyAlignment="1">
      <alignment horizontal="left" vertical="center" wrapText="1"/>
    </xf>
    <xf numFmtId="0" fontId="46" fillId="0" borderId="42" xfId="0" applyFont="1" applyBorder="1" applyAlignment="1">
      <alignment horizontal="center" vertical="center"/>
    </xf>
    <xf numFmtId="0" fontId="46" fillId="0" borderId="43" xfId="0" applyFont="1" applyBorder="1" applyAlignment="1">
      <alignment horizontal="center" vertical="center"/>
    </xf>
    <xf numFmtId="0" fontId="46" fillId="0" borderId="18" xfId="0" applyFont="1" applyBorder="1" applyAlignment="1">
      <alignment vertical="center"/>
    </xf>
    <xf numFmtId="0" fontId="46" fillId="0" borderId="25" xfId="0" applyFont="1" applyBorder="1" applyAlignment="1">
      <alignment horizontal="center" vertical="center" wrapText="1"/>
    </xf>
    <xf numFmtId="0" fontId="46" fillId="0" borderId="18" xfId="0" applyFont="1" applyBorder="1" applyAlignment="1">
      <alignment horizontal="left" vertical="center" wrapText="1"/>
    </xf>
    <xf numFmtId="0" fontId="46" fillId="0" borderId="18" xfId="0" applyFont="1" applyBorder="1" applyAlignment="1">
      <alignment horizontal="center" vertical="center"/>
    </xf>
    <xf numFmtId="0" fontId="46" fillId="0" borderId="45" xfId="0" applyFont="1" applyBorder="1" applyAlignment="1">
      <alignment horizontal="center" vertical="center"/>
    </xf>
    <xf numFmtId="0" fontId="46" fillId="0" borderId="21" xfId="0" applyFont="1" applyBorder="1" applyAlignment="1">
      <alignment horizontal="left" vertical="center" wrapText="1"/>
    </xf>
    <xf numFmtId="0" fontId="46" fillId="0" borderId="21" xfId="0" applyFont="1" applyBorder="1" applyAlignment="1">
      <alignment horizontal="center" vertical="center"/>
    </xf>
    <xf numFmtId="0" fontId="46" fillId="0" borderId="62" xfId="0" applyFont="1" applyBorder="1" applyAlignment="1">
      <alignment horizontal="center" vertical="center"/>
    </xf>
    <xf numFmtId="0" fontId="46" fillId="0" borderId="21" xfId="0" applyFont="1" applyBorder="1" applyAlignment="1">
      <alignment vertical="center"/>
    </xf>
    <xf numFmtId="0" fontId="46" fillId="11" borderId="42" xfId="0" applyFont="1" applyFill="1" applyBorder="1" applyAlignment="1">
      <alignment vertical="center" wrapText="1"/>
    </xf>
    <xf numFmtId="0" fontId="46" fillId="11" borderId="42" xfId="0" applyFont="1" applyFill="1" applyBorder="1" applyAlignment="1">
      <alignment horizontal="left" vertical="center" wrapText="1"/>
    </xf>
    <xf numFmtId="0" fontId="47" fillId="11" borderId="42" xfId="0" applyFont="1" applyFill="1" applyBorder="1" applyAlignment="1">
      <alignment horizontal="center" vertical="center"/>
    </xf>
    <xf numFmtId="0" fontId="46" fillId="11" borderId="42" xfId="0" applyFont="1" applyFill="1" applyBorder="1" applyAlignment="1">
      <alignment horizontal="center" vertical="center"/>
    </xf>
    <xf numFmtId="0" fontId="47" fillId="11" borderId="43" xfId="0" applyFont="1" applyFill="1" applyBorder="1" applyAlignment="1">
      <alignment horizontal="center" vertical="center"/>
    </xf>
    <xf numFmtId="0" fontId="47" fillId="0" borderId="0" xfId="0" applyFont="1"/>
    <xf numFmtId="0" fontId="46" fillId="11" borderId="18" xfId="0" applyFont="1" applyFill="1" applyBorder="1" applyAlignment="1">
      <alignment vertical="center" wrapText="1"/>
    </xf>
    <xf numFmtId="0" fontId="46" fillId="11" borderId="18" xfId="0" applyFont="1" applyFill="1" applyBorder="1" applyAlignment="1">
      <alignment horizontal="left" vertical="center" wrapText="1"/>
    </xf>
    <xf numFmtId="0" fontId="47" fillId="11" borderId="18" xfId="0" applyFont="1" applyFill="1" applyBorder="1" applyAlignment="1">
      <alignment horizontal="center" vertical="center"/>
    </xf>
    <xf numFmtId="0" fontId="46" fillId="11" borderId="18" xfId="0" applyFont="1" applyFill="1" applyBorder="1" applyAlignment="1">
      <alignment horizontal="center" vertical="center"/>
    </xf>
    <xf numFmtId="0" fontId="47" fillId="11" borderId="45" xfId="0" applyFont="1" applyFill="1" applyBorder="1" applyAlignment="1">
      <alignment horizontal="center" vertical="center"/>
    </xf>
    <xf numFmtId="0" fontId="46" fillId="11" borderId="21" xfId="0" applyFont="1" applyFill="1" applyBorder="1" applyAlignment="1">
      <alignment horizontal="left" vertical="center" wrapText="1"/>
    </xf>
    <xf numFmtId="0" fontId="47" fillId="11" borderId="21" xfId="0" applyFont="1" applyFill="1" applyBorder="1" applyAlignment="1">
      <alignment horizontal="center" vertical="center"/>
    </xf>
    <xf numFmtId="0" fontId="46" fillId="11" borderId="21" xfId="0" applyFont="1" applyFill="1" applyBorder="1" applyAlignment="1">
      <alignment horizontal="center" vertical="center"/>
    </xf>
    <xf numFmtId="0" fontId="47" fillId="11" borderId="62" xfId="0" applyFont="1" applyFill="1" applyBorder="1" applyAlignment="1">
      <alignment horizontal="center" vertical="center"/>
    </xf>
    <xf numFmtId="0" fontId="46" fillId="11" borderId="47" xfId="0" applyFont="1" applyFill="1" applyBorder="1" applyAlignment="1">
      <alignment vertical="center" wrapText="1"/>
    </xf>
    <xf numFmtId="0" fontId="46" fillId="11" borderId="47" xfId="0" applyFont="1" applyFill="1" applyBorder="1" applyAlignment="1">
      <alignment horizontal="left" vertical="center" wrapText="1"/>
    </xf>
    <xf numFmtId="0" fontId="47" fillId="11" borderId="47" xfId="0" applyFont="1" applyFill="1" applyBorder="1" applyAlignment="1">
      <alignment horizontal="center" vertical="center"/>
    </xf>
    <xf numFmtId="0" fontId="46" fillId="11" borderId="47" xfId="0" applyFont="1" applyFill="1" applyBorder="1" applyAlignment="1">
      <alignment horizontal="center" vertical="center"/>
    </xf>
    <xf numFmtId="0" fontId="47" fillId="11" borderId="48" xfId="0" applyFont="1" applyFill="1" applyBorder="1" applyAlignment="1">
      <alignment horizontal="center" vertical="center"/>
    </xf>
    <xf numFmtId="0" fontId="0" fillId="0" borderId="22" xfId="0" applyBorder="1" applyAlignment="1">
      <alignment horizontal="left" vertical="center" wrapText="1"/>
    </xf>
    <xf numFmtId="0" fontId="0" fillId="0" borderId="22" xfId="0" applyBorder="1" applyAlignment="1">
      <alignment horizontal="center" vertical="center" wrapText="1"/>
    </xf>
    <xf numFmtId="0" fontId="46" fillId="0" borderId="22" xfId="0" applyFont="1" applyBorder="1" applyAlignment="1">
      <alignment horizontal="center" vertical="center" wrapText="1"/>
    </xf>
    <xf numFmtId="165" fontId="46" fillId="0" borderId="22" xfId="1" applyNumberFormat="1" applyFont="1" applyFill="1"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horizontal="center" vertical="center" wrapText="1"/>
    </xf>
    <xf numFmtId="0" fontId="1" fillId="0" borderId="18" xfId="1" applyNumberFormat="1" applyFont="1" applyFill="1" applyBorder="1" applyAlignment="1">
      <alignment horizontal="center" vertical="center" wrapText="1"/>
    </xf>
    <xf numFmtId="0" fontId="46" fillId="0" borderId="18" xfId="0" applyFont="1" applyBorder="1" applyAlignment="1">
      <alignment horizontal="center" vertical="center" wrapText="1"/>
    </xf>
    <xf numFmtId="165" fontId="46" fillId="0" borderId="18" xfId="1" applyNumberFormat="1" applyFont="1" applyFill="1" applyBorder="1" applyAlignment="1">
      <alignment horizontal="center" vertical="center" wrapText="1"/>
    </xf>
    <xf numFmtId="164" fontId="46" fillId="0" borderId="18" xfId="0" applyNumberFormat="1" applyFont="1" applyBorder="1" applyAlignment="1">
      <alignment horizontal="center" vertical="center" wrapText="1"/>
    </xf>
    <xf numFmtId="0" fontId="0" fillId="0" borderId="21" xfId="0" applyBorder="1" applyAlignment="1">
      <alignment horizontal="left" vertical="center" wrapText="1"/>
    </xf>
    <xf numFmtId="0" fontId="0" fillId="0" borderId="21" xfId="0" applyBorder="1" applyAlignment="1">
      <alignment horizontal="center" vertical="center" wrapText="1"/>
    </xf>
    <xf numFmtId="9" fontId="0" fillId="0" borderId="21" xfId="0" applyNumberFormat="1" applyBorder="1" applyAlignment="1">
      <alignment horizontal="center" vertical="center" wrapText="1"/>
    </xf>
    <xf numFmtId="10" fontId="0" fillId="0" borderId="21" xfId="0" applyNumberFormat="1" applyBorder="1" applyAlignment="1">
      <alignment horizontal="center" vertical="center" wrapText="1"/>
    </xf>
    <xf numFmtId="0" fontId="46" fillId="0" borderId="21" xfId="0" applyFont="1" applyBorder="1" applyAlignment="1">
      <alignment horizontal="center" vertical="center" wrapText="1"/>
    </xf>
    <xf numFmtId="10" fontId="46" fillId="0" borderId="21" xfId="0" applyNumberFormat="1" applyFont="1" applyBorder="1" applyAlignment="1">
      <alignment horizontal="center" vertical="center" wrapText="1"/>
    </xf>
    <xf numFmtId="164" fontId="46" fillId="0" borderId="21" xfId="0" applyNumberFormat="1" applyFont="1" applyBorder="1" applyAlignment="1">
      <alignment horizontal="center" vertical="center" wrapText="1"/>
    </xf>
    <xf numFmtId="9" fontId="46" fillId="7" borderId="42" xfId="0" applyNumberFormat="1" applyFont="1" applyFill="1" applyBorder="1" applyAlignment="1">
      <alignment horizontal="center" vertical="center" wrapText="1"/>
    </xf>
    <xf numFmtId="0" fontId="46" fillId="7" borderId="18" xfId="0" applyFont="1" applyFill="1" applyBorder="1" applyAlignment="1">
      <alignment horizontal="left" vertical="center" wrapText="1"/>
    </xf>
    <xf numFmtId="0" fontId="46" fillId="7" borderId="18" xfId="0" applyFont="1" applyFill="1" applyBorder="1" applyAlignment="1">
      <alignment horizontal="center" vertical="center" wrapText="1"/>
    </xf>
    <xf numFmtId="9" fontId="46" fillId="7" borderId="18" xfId="0" applyNumberFormat="1" applyFont="1" applyFill="1" applyBorder="1" applyAlignment="1">
      <alignment horizontal="center" vertical="center" wrapText="1"/>
    </xf>
    <xf numFmtId="0" fontId="46" fillId="7" borderId="47" xfId="0" applyFont="1" applyFill="1" applyBorder="1" applyAlignment="1">
      <alignment horizontal="left" vertical="center" wrapText="1"/>
    </xf>
    <xf numFmtId="0" fontId="46" fillId="7" borderId="47" xfId="0" applyFont="1" applyFill="1" applyBorder="1" applyAlignment="1">
      <alignment horizontal="center" vertical="center" wrapText="1"/>
    </xf>
    <xf numFmtId="9" fontId="46" fillId="7" borderId="47" xfId="0" applyNumberFormat="1" applyFont="1" applyFill="1" applyBorder="1" applyAlignment="1">
      <alignment horizontal="center" vertical="center" wrapText="1"/>
    </xf>
    <xf numFmtId="0" fontId="0" fillId="0" borderId="42" xfId="0" applyBorder="1" applyAlignment="1">
      <alignment horizontal="left" vertical="center" wrapText="1"/>
    </xf>
    <xf numFmtId="0" fontId="0" fillId="0" borderId="42" xfId="0" applyBorder="1" applyAlignment="1">
      <alignment horizontal="center" vertical="center" wrapText="1"/>
    </xf>
    <xf numFmtId="0" fontId="46" fillId="0" borderId="42" xfId="0" applyFont="1" applyBorder="1" applyAlignment="1">
      <alignment horizontal="center" vertical="center" wrapText="1"/>
    </xf>
    <xf numFmtId="1" fontId="46" fillId="0" borderId="42" xfId="0" applyNumberFormat="1" applyFont="1" applyBorder="1" applyAlignment="1">
      <alignment horizontal="center" vertical="center" wrapText="1"/>
    </xf>
    <xf numFmtId="0" fontId="0" fillId="0" borderId="43" xfId="0" applyBorder="1" applyAlignment="1">
      <alignment horizontal="center" vertical="center" wrapText="1"/>
    </xf>
    <xf numFmtId="0" fontId="0" fillId="0" borderId="62" xfId="0" applyBorder="1" applyAlignment="1">
      <alignment horizontal="center" vertical="center" wrapText="1"/>
    </xf>
    <xf numFmtId="0" fontId="42" fillId="7" borderId="42" xfId="0" applyFont="1" applyFill="1" applyBorder="1" applyAlignment="1">
      <alignment horizontal="center" vertical="center" wrapText="1"/>
    </xf>
    <xf numFmtId="0" fontId="42" fillId="7" borderId="66" xfId="0" applyFont="1" applyFill="1" applyBorder="1" applyAlignment="1">
      <alignment horizontal="center" vertical="center" wrapText="1"/>
    </xf>
    <xf numFmtId="0" fontId="46" fillId="7" borderId="18" xfId="0" applyFont="1" applyFill="1" applyBorder="1" applyAlignment="1">
      <alignment horizontal="center" vertical="center"/>
    </xf>
    <xf numFmtId="0" fontId="42" fillId="7" borderId="18" xfId="0" applyFont="1" applyFill="1" applyBorder="1" applyAlignment="1">
      <alignment horizontal="center" vertical="center"/>
    </xf>
    <xf numFmtId="0" fontId="42" fillId="7" borderId="68" xfId="0" applyFont="1" applyFill="1" applyBorder="1" applyAlignment="1">
      <alignment horizontal="center" vertical="center"/>
    </xf>
    <xf numFmtId="0" fontId="46" fillId="7" borderId="47" xfId="0" applyFont="1" applyFill="1" applyBorder="1" applyAlignment="1">
      <alignment horizontal="center" vertical="center"/>
    </xf>
    <xf numFmtId="0" fontId="42" fillId="7" borderId="47" xfId="0" applyFont="1" applyFill="1" applyBorder="1" applyAlignment="1">
      <alignment horizontal="center" vertical="center"/>
    </xf>
    <xf numFmtId="0" fontId="42" fillId="7" borderId="61" xfId="0" applyFont="1" applyFill="1" applyBorder="1" applyAlignment="1">
      <alignment horizontal="center" vertical="center"/>
    </xf>
    <xf numFmtId="0" fontId="46" fillId="0" borderId="22" xfId="0" applyFont="1" applyBorder="1" applyAlignment="1">
      <alignment vertical="center" wrapText="1"/>
    </xf>
    <xf numFmtId="1" fontId="46" fillId="0" borderId="22" xfId="0" applyNumberFormat="1" applyFont="1" applyBorder="1" applyAlignment="1">
      <alignment horizontal="center" vertical="center" wrapText="1"/>
    </xf>
    <xf numFmtId="0" fontId="46" fillId="0" borderId="22" xfId="0" applyFont="1" applyBorder="1" applyAlignment="1">
      <alignment horizontal="center" vertical="center"/>
    </xf>
    <xf numFmtId="0" fontId="46" fillId="0" borderId="0" xfId="0" applyFont="1" applyAlignment="1">
      <alignment horizontal="center"/>
    </xf>
    <xf numFmtId="0" fontId="46" fillId="0" borderId="43" xfId="0" applyFont="1" applyBorder="1" applyAlignment="1">
      <alignment horizontal="center" vertical="center" wrapText="1"/>
    </xf>
    <xf numFmtId="0" fontId="45" fillId="0" borderId="0" xfId="0" applyFont="1"/>
    <xf numFmtId="0" fontId="45" fillId="0" borderId="23" xfId="0" applyFont="1" applyBorder="1"/>
    <xf numFmtId="1" fontId="46" fillId="0" borderId="25"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21" xfId="0" applyFont="1" applyBorder="1" applyAlignment="1">
      <alignment vertical="center" wrapText="1"/>
    </xf>
    <xf numFmtId="1" fontId="46" fillId="0" borderId="18" xfId="0" applyNumberFormat="1" applyFont="1" applyBorder="1" applyAlignment="1">
      <alignment horizontal="center" vertical="center" wrapText="1"/>
    </xf>
    <xf numFmtId="1" fontId="46" fillId="0" borderId="21" xfId="0" applyNumberFormat="1" applyFont="1" applyBorder="1" applyAlignment="1">
      <alignment horizontal="center" vertical="center" wrapText="1"/>
    </xf>
    <xf numFmtId="164" fontId="46" fillId="11" borderId="42" xfId="0" applyNumberFormat="1" applyFont="1" applyFill="1" applyBorder="1" applyAlignment="1">
      <alignment horizontal="center" vertical="center" wrapText="1"/>
    </xf>
    <xf numFmtId="0" fontId="46" fillId="11" borderId="43" xfId="0" applyFont="1" applyFill="1" applyBorder="1" applyAlignment="1">
      <alignment horizontal="center" vertical="center" wrapText="1"/>
    </xf>
    <xf numFmtId="0" fontId="46" fillId="11" borderId="18" xfId="0" applyFont="1" applyFill="1" applyBorder="1" applyAlignment="1">
      <alignment horizontal="justify" vertical="center" wrapText="1"/>
    </xf>
    <xf numFmtId="164" fontId="46" fillId="11" borderId="18" xfId="0" applyNumberFormat="1" applyFont="1" applyFill="1" applyBorder="1" applyAlignment="1">
      <alignment horizontal="center" vertical="center" wrapText="1"/>
    </xf>
    <xf numFmtId="0" fontId="46" fillId="11" borderId="45" xfId="0" applyFont="1" applyFill="1" applyBorder="1" applyAlignment="1">
      <alignment horizontal="center" vertical="center" wrapText="1"/>
    </xf>
    <xf numFmtId="0" fontId="46" fillId="11" borderId="47" xfId="0" applyFont="1" applyFill="1" applyBorder="1" applyAlignment="1">
      <alignment horizontal="justify" vertical="top" wrapText="1"/>
    </xf>
    <xf numFmtId="164" fontId="46" fillId="11" borderId="47" xfId="0" applyNumberFormat="1" applyFont="1" applyFill="1" applyBorder="1" applyAlignment="1">
      <alignment horizontal="center" vertical="center" wrapText="1"/>
    </xf>
    <xf numFmtId="0" fontId="46" fillId="11" borderId="48" xfId="0" applyFont="1" applyFill="1" applyBorder="1" applyAlignment="1">
      <alignment horizontal="center" vertical="center" wrapText="1"/>
    </xf>
    <xf numFmtId="164" fontId="45" fillId="21" borderId="39" xfId="0" applyNumberFormat="1" applyFont="1" applyFill="1" applyBorder="1" applyAlignment="1">
      <alignment horizontal="center" vertical="center"/>
    </xf>
    <xf numFmtId="0" fontId="45" fillId="21" borderId="40" xfId="0" applyFont="1" applyFill="1" applyBorder="1"/>
    <xf numFmtId="0" fontId="5" fillId="9" borderId="47" xfId="0" applyFont="1" applyFill="1" applyBorder="1" applyAlignment="1">
      <alignment horizontal="center" vertical="center" wrapText="1"/>
    </xf>
    <xf numFmtId="0" fontId="24" fillId="6" borderId="18" xfId="0" applyFont="1" applyFill="1" applyBorder="1" applyAlignment="1">
      <alignment horizontal="left"/>
    </xf>
    <xf numFmtId="0" fontId="46" fillId="0" borderId="22" xfId="0" applyFont="1" applyBorder="1" applyAlignment="1">
      <alignment horizontal="left" vertical="top" wrapText="1"/>
    </xf>
    <xf numFmtId="0" fontId="46" fillId="0" borderId="18" xfId="0" applyFont="1" applyBorder="1" applyAlignment="1">
      <alignment horizontal="left" vertical="top" wrapText="1"/>
    </xf>
    <xf numFmtId="0" fontId="46" fillId="0" borderId="21" xfId="0" applyFont="1" applyBorder="1" applyAlignment="1">
      <alignment horizontal="left" vertical="top" wrapText="1"/>
    </xf>
    <xf numFmtId="0" fontId="50" fillId="6" borderId="18" xfId="0" applyFont="1" applyFill="1" applyBorder="1" applyAlignment="1">
      <alignment horizontal="left" wrapText="1"/>
    </xf>
    <xf numFmtId="0" fontId="5" fillId="9" borderId="22" xfId="0" applyFont="1" applyFill="1" applyBorder="1" applyAlignment="1">
      <alignment horizontal="center" vertical="center" wrapText="1"/>
    </xf>
    <xf numFmtId="0" fontId="0" fillId="7" borderId="21" xfId="0" applyFill="1" applyBorder="1" applyAlignment="1">
      <alignment horizontal="justify" vertical="center" wrapText="1"/>
    </xf>
    <xf numFmtId="0" fontId="0" fillId="7" borderId="18" xfId="0" applyFill="1" applyBorder="1" applyAlignment="1">
      <alignment horizontal="center" wrapText="1"/>
    </xf>
    <xf numFmtId="0" fontId="0" fillId="7" borderId="18" xfId="0" applyFill="1" applyBorder="1" applyAlignment="1">
      <alignment horizontal="center"/>
    </xf>
    <xf numFmtId="164" fontId="0" fillId="7" borderId="18" xfId="0" applyNumberFormat="1" applyFill="1" applyBorder="1" applyAlignment="1">
      <alignment horizontal="center" wrapText="1"/>
    </xf>
    <xf numFmtId="164" fontId="0" fillId="7" borderId="18" xfId="0" applyNumberFormat="1" applyFill="1" applyBorder="1" applyAlignment="1">
      <alignment horizontal="center"/>
    </xf>
    <xf numFmtId="164" fontId="0" fillId="7" borderId="18" xfId="0" applyNumberFormat="1" applyFill="1" applyBorder="1"/>
    <xf numFmtId="0" fontId="0" fillId="7" borderId="18" xfId="0" applyFill="1" applyBorder="1" applyAlignment="1">
      <alignment wrapText="1"/>
    </xf>
    <xf numFmtId="0" fontId="0" fillId="7" borderId="25" xfId="0" applyFill="1" applyBorder="1" applyAlignment="1">
      <alignment horizontal="justify" vertical="center" wrapText="1"/>
    </xf>
    <xf numFmtId="0" fontId="0" fillId="7" borderId="22" xfId="0" applyFill="1" applyBorder="1" applyAlignment="1">
      <alignment horizontal="justify" vertical="center" wrapText="1"/>
    </xf>
    <xf numFmtId="0" fontId="0" fillId="10" borderId="25" xfId="0" applyFill="1" applyBorder="1" applyAlignment="1">
      <alignment horizontal="justify" vertical="center" wrapText="1"/>
    </xf>
    <xf numFmtId="0" fontId="0" fillId="10" borderId="25"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8" xfId="0" applyFill="1" applyBorder="1" applyAlignment="1">
      <alignment horizontal="center" vertical="center"/>
    </xf>
    <xf numFmtId="164" fontId="0" fillId="10" borderId="18" xfId="0" applyNumberFormat="1" applyFill="1" applyBorder="1" applyAlignment="1">
      <alignment horizontal="center" vertical="center" wrapText="1"/>
    </xf>
    <xf numFmtId="164" fontId="0" fillId="10" borderId="18" xfId="0" applyNumberFormat="1" applyFill="1" applyBorder="1" applyAlignment="1">
      <alignment horizontal="center" vertical="center"/>
    </xf>
    <xf numFmtId="164" fontId="0" fillId="10" borderId="18" xfId="0" applyNumberFormat="1" applyFill="1" applyBorder="1" applyAlignment="1">
      <alignment vertical="center"/>
    </xf>
    <xf numFmtId="0" fontId="0" fillId="10" borderId="18" xfId="0" applyFill="1" applyBorder="1" applyAlignment="1">
      <alignment wrapText="1"/>
    </xf>
    <xf numFmtId="0" fontId="0" fillId="7" borderId="18" xfId="0" applyFill="1" applyBorder="1" applyAlignment="1">
      <alignment horizontal="justify" vertical="center" wrapText="1"/>
    </xf>
    <xf numFmtId="0" fontId="0" fillId="7" borderId="18" xfId="0" applyFill="1" applyBorder="1" applyAlignment="1">
      <alignment horizontal="center" vertical="center" wrapText="1"/>
    </xf>
    <xf numFmtId="0" fontId="0" fillId="7" borderId="18" xfId="0" applyFill="1" applyBorder="1" applyAlignment="1">
      <alignment horizontal="center" vertical="center"/>
    </xf>
    <xf numFmtId="164" fontId="0" fillId="7" borderId="18" xfId="0" applyNumberFormat="1" applyFill="1" applyBorder="1" applyAlignment="1">
      <alignment horizontal="center" vertical="center" wrapText="1"/>
    </xf>
    <xf numFmtId="164" fontId="0" fillId="7" borderId="18" xfId="0" applyNumberFormat="1" applyFill="1" applyBorder="1" applyAlignment="1">
      <alignment horizontal="center" vertical="center"/>
    </xf>
    <xf numFmtId="164" fontId="0" fillId="7" borderId="18" xfId="0" applyNumberFormat="1" applyFill="1" applyBorder="1" applyAlignment="1">
      <alignment vertical="center"/>
    </xf>
    <xf numFmtId="0" fontId="0" fillId="10" borderId="18" xfId="0" applyFill="1" applyBorder="1" applyAlignment="1">
      <alignment horizontal="center" wrapText="1"/>
    </xf>
    <xf numFmtId="0" fontId="0" fillId="10" borderId="18" xfId="0" applyFill="1" applyBorder="1" applyAlignment="1">
      <alignment horizontal="justify" vertical="center" wrapText="1"/>
    </xf>
    <xf numFmtId="0" fontId="0" fillId="10" borderId="18" xfId="0" applyFill="1" applyBorder="1" applyAlignment="1">
      <alignment horizontal="center"/>
    </xf>
    <xf numFmtId="164" fontId="0" fillId="10" borderId="18" xfId="0" applyNumberFormat="1" applyFill="1" applyBorder="1" applyAlignment="1">
      <alignment horizontal="center" wrapText="1"/>
    </xf>
    <xf numFmtId="164" fontId="0" fillId="10" borderId="18" xfId="0" applyNumberFormat="1" applyFill="1" applyBorder="1" applyAlignment="1">
      <alignment horizontal="center"/>
    </xf>
    <xf numFmtId="164" fontId="0" fillId="10" borderId="18" xfId="0" applyNumberFormat="1" applyFill="1" applyBorder="1"/>
    <xf numFmtId="0" fontId="0" fillId="7" borderId="31" xfId="0" applyFill="1" applyBorder="1" applyAlignment="1">
      <alignment horizontal="center" vertical="center" wrapText="1"/>
    </xf>
    <xf numFmtId="0" fontId="0" fillId="7" borderId="18" xfId="0" applyFill="1" applyBorder="1" applyAlignment="1">
      <alignment vertical="center" wrapText="1"/>
    </xf>
    <xf numFmtId="0" fontId="0" fillId="10" borderId="0" xfId="0" applyFill="1"/>
    <xf numFmtId="164" fontId="5" fillId="6" borderId="18" xfId="0" applyNumberFormat="1" applyFont="1" applyFill="1" applyBorder="1" applyAlignment="1">
      <alignment horizontal="center" vertical="center"/>
    </xf>
    <xf numFmtId="164" fontId="5" fillId="6" borderId="18" xfId="1" applyNumberFormat="1" applyFont="1" applyFill="1" applyBorder="1" applyAlignment="1">
      <alignment horizontal="center" vertical="center"/>
    </xf>
    <xf numFmtId="43" fontId="5" fillId="6" borderId="18" xfId="1" applyFont="1" applyFill="1" applyBorder="1" applyAlignment="1">
      <alignment horizontal="center" vertical="center"/>
    </xf>
    <xf numFmtId="0" fontId="5" fillId="6" borderId="18" xfId="0" applyFont="1" applyFill="1" applyBorder="1" applyAlignment="1">
      <alignment wrapText="1"/>
    </xf>
    <xf numFmtId="0" fontId="24" fillId="0" borderId="0" xfId="0" applyFont="1" applyAlignment="1">
      <alignment horizontal="center" wrapText="1"/>
    </xf>
    <xf numFmtId="0" fontId="5" fillId="9" borderId="18" xfId="0" applyFont="1" applyFill="1" applyBorder="1" applyAlignment="1">
      <alignment horizontal="center" vertical="center" wrapText="1"/>
    </xf>
    <xf numFmtId="0" fontId="0" fillId="7" borderId="18" xfId="0" applyFill="1" applyBorder="1" applyAlignment="1">
      <alignment horizontal="justify" vertical="center"/>
    </xf>
    <xf numFmtId="0" fontId="0" fillId="7" borderId="18" xfId="0" applyFill="1" applyBorder="1" applyAlignment="1">
      <alignment vertical="center"/>
    </xf>
    <xf numFmtId="0" fontId="0" fillId="0" borderId="18" xfId="0" applyBorder="1" applyAlignment="1">
      <alignment horizontal="justify" vertical="center" wrapText="1"/>
    </xf>
    <xf numFmtId="0" fontId="0" fillId="0" borderId="18" xfId="0" applyBorder="1" applyAlignment="1">
      <alignment horizontal="justify" vertical="center"/>
    </xf>
    <xf numFmtId="0" fontId="0" fillId="0" borderId="18" xfId="0" applyBorder="1" applyAlignment="1">
      <alignment horizontal="center" vertical="center"/>
    </xf>
    <xf numFmtId="0" fontId="0" fillId="0" borderId="18" xfId="0" applyBorder="1" applyAlignment="1">
      <alignment vertical="center"/>
    </xf>
    <xf numFmtId="43" fontId="0" fillId="0" borderId="18" xfId="1" applyFont="1" applyFill="1" applyBorder="1" applyAlignment="1">
      <alignment horizontal="center" vertical="center"/>
    </xf>
    <xf numFmtId="0" fontId="0" fillId="8" borderId="0" xfId="0" applyFill="1"/>
    <xf numFmtId="0" fontId="0" fillId="0" borderId="22" xfId="0" applyBorder="1" applyAlignment="1">
      <alignment horizontal="justify" vertical="center" wrapText="1"/>
    </xf>
    <xf numFmtId="0" fontId="0" fillId="0" borderId="18" xfId="0" applyBorder="1" applyAlignment="1">
      <alignment vertical="center" wrapText="1"/>
    </xf>
    <xf numFmtId="0" fontId="0" fillId="7" borderId="18" xfId="0" applyFill="1" applyBorder="1" applyAlignment="1">
      <alignment horizontal="left" wrapText="1"/>
    </xf>
    <xf numFmtId="43" fontId="0" fillId="7" borderId="18" xfId="1" applyFont="1" applyFill="1" applyBorder="1" applyAlignment="1">
      <alignment horizontal="center" vertical="center"/>
    </xf>
    <xf numFmtId="43" fontId="0" fillId="0" borderId="18" xfId="1" applyFont="1" applyFill="1" applyBorder="1" applyAlignment="1">
      <alignment horizontal="center" vertical="center" wrapText="1"/>
    </xf>
    <xf numFmtId="0" fontId="0" fillId="10" borderId="0" xfId="0" applyFill="1" applyAlignment="1">
      <alignment vertical="center" wrapText="1"/>
    </xf>
    <xf numFmtId="0" fontId="0" fillId="10" borderId="0" xfId="0" applyFill="1" applyAlignment="1">
      <alignment horizontal="center" vertical="center"/>
    </xf>
    <xf numFmtId="0" fontId="0" fillId="10" borderId="0" xfId="0" applyFill="1" applyAlignment="1">
      <alignment horizontal="center" vertical="center" wrapText="1"/>
    </xf>
    <xf numFmtId="0" fontId="0" fillId="10" borderId="0" xfId="0" applyFill="1" applyAlignment="1">
      <alignment horizontal="left" vertical="center" wrapText="1"/>
    </xf>
    <xf numFmtId="0" fontId="0" fillId="10" borderId="0" xfId="0" applyFill="1" applyAlignment="1">
      <alignment vertical="center"/>
    </xf>
    <xf numFmtId="43" fontId="0" fillId="10" borderId="0" xfId="1" applyFont="1" applyFill="1" applyBorder="1" applyAlignment="1">
      <alignment horizontal="center" vertical="center"/>
    </xf>
    <xf numFmtId="9" fontId="0" fillId="7" borderId="18" xfId="0" applyNumberFormat="1" applyFill="1" applyBorder="1" applyAlignment="1">
      <alignment horizontal="center" vertical="center"/>
    </xf>
    <xf numFmtId="0" fontId="0" fillId="0" borderId="0" xfId="0" applyAlignment="1">
      <alignment horizontal="center" vertical="center"/>
    </xf>
    <xf numFmtId="10" fontId="0" fillId="10" borderId="18" xfId="0" applyNumberFormat="1" applyFill="1" applyBorder="1" applyAlignment="1">
      <alignment horizontal="left" vertical="center"/>
    </xf>
    <xf numFmtId="0" fontId="0" fillId="10" borderId="18" xfId="0" applyFill="1" applyBorder="1" applyAlignment="1">
      <alignment horizontal="left" vertical="center"/>
    </xf>
    <xf numFmtId="10" fontId="0" fillId="10" borderId="18" xfId="0" applyNumberFormat="1" applyFill="1" applyBorder="1" applyAlignment="1">
      <alignment horizontal="center" vertical="center"/>
    </xf>
    <xf numFmtId="0" fontId="0" fillId="0" borderId="0" xfId="0" applyAlignment="1">
      <alignment horizontal="left" vertical="center"/>
    </xf>
    <xf numFmtId="0" fontId="0" fillId="10" borderId="18" xfId="0" applyFill="1" applyBorder="1" applyAlignment="1">
      <alignment horizontal="justify" vertical="center"/>
    </xf>
    <xf numFmtId="0" fontId="0" fillId="11" borderId="18" xfId="0" applyFill="1" applyBorder="1" applyAlignment="1">
      <alignment horizontal="justify" vertical="center" wrapText="1"/>
    </xf>
    <xf numFmtId="0" fontId="0" fillId="11" borderId="18" xfId="0" applyFill="1" applyBorder="1" applyAlignment="1">
      <alignment vertical="center" wrapText="1"/>
    </xf>
    <xf numFmtId="0" fontId="0" fillId="11" borderId="18" xfId="0" applyFill="1" applyBorder="1" applyAlignment="1">
      <alignment horizontal="center" vertical="center"/>
    </xf>
    <xf numFmtId="0" fontId="0" fillId="11" borderId="18" xfId="0" applyFill="1" applyBorder="1"/>
    <xf numFmtId="0" fontId="0" fillId="0" borderId="18" xfId="0" applyBorder="1" applyAlignment="1">
      <alignment horizontal="center"/>
    </xf>
    <xf numFmtId="0" fontId="0" fillId="11" borderId="18" xfId="0" applyFill="1" applyBorder="1" applyAlignment="1">
      <alignment horizontal="center" vertical="center" wrapText="1"/>
    </xf>
    <xf numFmtId="0" fontId="0" fillId="11" borderId="18" xfId="0" applyFill="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0" fillId="0" borderId="0" xfId="0" applyFont="1" applyAlignment="1">
      <alignment horizontal="lef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0" fillId="0" borderId="55" xfId="0" applyFont="1" applyBorder="1" applyAlignment="1">
      <alignment horizontal="left" vertical="center"/>
    </xf>
    <xf numFmtId="0" fontId="10" fillId="0" borderId="56" xfId="0" applyFont="1" applyBorder="1" applyAlignment="1">
      <alignment horizontal="left" vertical="center"/>
    </xf>
    <xf numFmtId="0" fontId="10" fillId="0" borderId="50" xfId="0" applyFont="1" applyBorder="1" applyAlignment="1">
      <alignment horizontal="left" vertical="center" wrapText="1"/>
    </xf>
    <xf numFmtId="0" fontId="10" fillId="0" borderId="51" xfId="0" applyFont="1" applyBorder="1" applyAlignment="1">
      <alignment horizontal="left" vertical="center" wrapText="1"/>
    </xf>
    <xf numFmtId="0" fontId="10" fillId="0" borderId="0" xfId="0" applyFont="1" applyAlignment="1">
      <alignment horizontal="left" vertical="center" wrapText="1"/>
    </xf>
    <xf numFmtId="0" fontId="10" fillId="0" borderId="53" xfId="0" applyFont="1" applyBorder="1" applyAlignment="1">
      <alignment horizontal="left" vertical="center" wrapText="1"/>
    </xf>
    <xf numFmtId="0" fontId="10" fillId="0" borderId="55" xfId="0" applyFont="1" applyBorder="1" applyAlignment="1">
      <alignment horizontal="left" vertical="center" wrapText="1"/>
    </xf>
    <xf numFmtId="0" fontId="10" fillId="0" borderId="56"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18"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0" fillId="0" borderId="57" xfId="0" applyBorder="1" applyAlignment="1">
      <alignment horizontal="left" vertical="center" wrapText="1"/>
    </xf>
    <xf numFmtId="0" fontId="0" fillId="0" borderId="42" xfId="0" applyBorder="1" applyAlignment="1">
      <alignment horizontal="left" vertical="center"/>
    </xf>
    <xf numFmtId="0" fontId="0" fillId="0" borderId="43"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0" fillId="0" borderId="45" xfId="0" applyBorder="1" applyAlignment="1">
      <alignment horizontal="left" vertical="center"/>
    </xf>
    <xf numFmtId="0" fontId="0" fillId="0" borderId="58"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20" fillId="0" borderId="0" xfId="0" applyFont="1" applyAlignment="1">
      <alignment horizontal="center"/>
    </xf>
    <xf numFmtId="0" fontId="0" fillId="7" borderId="21" xfId="0" applyFill="1" applyBorder="1" applyAlignment="1">
      <alignment horizontal="center" vertical="center" wrapText="1"/>
    </xf>
    <xf numFmtId="0" fontId="0" fillId="7" borderId="25" xfId="0" applyFill="1" applyBorder="1" applyAlignment="1">
      <alignment horizontal="center" vertical="center" wrapText="1"/>
    </xf>
    <xf numFmtId="0" fontId="0" fillId="7" borderId="22" xfId="0" applyFill="1" applyBorder="1" applyAlignment="1">
      <alignment horizontal="center" vertical="center" wrapText="1"/>
    </xf>
    <xf numFmtId="0" fontId="17" fillId="0" borderId="0" xfId="0" applyFont="1" applyAlignment="1">
      <alignment horizontal="center"/>
    </xf>
    <xf numFmtId="0" fontId="0" fillId="7" borderId="24" xfId="0" applyFill="1" applyBorder="1" applyAlignment="1">
      <alignment horizontal="center" vertical="center" wrapText="1"/>
    </xf>
    <xf numFmtId="0" fontId="0" fillId="7" borderId="69" xfId="0" applyFill="1" applyBorder="1" applyAlignment="1">
      <alignment horizontal="center" vertical="center" wrapText="1"/>
    </xf>
    <xf numFmtId="0" fontId="0" fillId="7" borderId="31" xfId="0" applyFill="1" applyBorder="1" applyAlignment="1">
      <alignment horizontal="center" vertical="center" wrapText="1"/>
    </xf>
    <xf numFmtId="0" fontId="0" fillId="7" borderId="21" xfId="0" applyFill="1" applyBorder="1" applyAlignment="1">
      <alignment horizontal="left" vertical="center" wrapText="1"/>
    </xf>
    <xf numFmtId="0" fontId="0" fillId="7" borderId="25" xfId="0" applyFill="1" applyBorder="1" applyAlignment="1">
      <alignment horizontal="left" vertical="center" wrapText="1"/>
    </xf>
    <xf numFmtId="0" fontId="0" fillId="7" borderId="22" xfId="0" applyFill="1" applyBorder="1" applyAlignment="1">
      <alignment horizontal="left" vertical="center" wrapText="1"/>
    </xf>
    <xf numFmtId="0" fontId="24" fillId="0" borderId="0" xfId="0" applyFont="1" applyAlignment="1">
      <alignment horizontal="center"/>
    </xf>
    <xf numFmtId="0" fontId="43" fillId="0" borderId="18" xfId="0" applyFont="1" applyBorder="1" applyAlignment="1">
      <alignment horizontal="left"/>
    </xf>
    <xf numFmtId="0" fontId="45" fillId="9" borderId="21" xfId="0" applyFont="1" applyFill="1" applyBorder="1" applyAlignment="1">
      <alignment horizontal="center" vertical="center" wrapText="1"/>
    </xf>
    <xf numFmtId="0" fontId="45" fillId="9" borderId="22" xfId="0" applyFont="1" applyFill="1" applyBorder="1" applyAlignment="1">
      <alignment horizontal="center" vertical="center" wrapText="1"/>
    </xf>
    <xf numFmtId="0" fontId="5" fillId="6" borderId="18" xfId="0" applyFont="1" applyFill="1" applyBorder="1" applyAlignment="1">
      <alignment horizontal="center" vertical="center"/>
    </xf>
    <xf numFmtId="0" fontId="5" fillId="9" borderId="18" xfId="0" applyFont="1" applyFill="1" applyBorder="1" applyAlignment="1">
      <alignment horizontal="center" vertical="center" wrapText="1"/>
    </xf>
    <xf numFmtId="0" fontId="5" fillId="6" borderId="18" xfId="0" applyFont="1" applyFill="1" applyBorder="1" applyAlignment="1">
      <alignment horizontal="center"/>
    </xf>
    <xf numFmtId="0" fontId="43" fillId="0" borderId="19" xfId="0" applyFont="1" applyBorder="1"/>
    <xf numFmtId="0" fontId="43" fillId="0" borderId="20" xfId="0" applyFont="1" applyBorder="1"/>
    <xf numFmtId="0" fontId="0" fillId="7" borderId="18" xfId="0" applyFill="1" applyBorder="1" applyAlignment="1">
      <alignment horizontal="center" vertical="center"/>
    </xf>
    <xf numFmtId="164" fontId="0" fillId="7" borderId="18" xfId="0" applyNumberFormat="1" applyFill="1" applyBorder="1" applyAlignment="1">
      <alignment horizontal="center" vertical="center"/>
    </xf>
    <xf numFmtId="0" fontId="0" fillId="7" borderId="18" xfId="0" applyFill="1" applyBorder="1" applyAlignment="1">
      <alignment horizontal="center" vertical="center" wrapText="1"/>
    </xf>
    <xf numFmtId="0" fontId="0" fillId="7" borderId="18" xfId="0" applyFill="1" applyBorder="1" applyAlignment="1">
      <alignment horizontal="left" vertical="top" wrapText="1"/>
    </xf>
    <xf numFmtId="0" fontId="43" fillId="0" borderId="19" xfId="0" applyFont="1" applyBorder="1" applyAlignment="1">
      <alignment horizontal="left"/>
    </xf>
    <xf numFmtId="0" fontId="43" fillId="0" borderId="20" xfId="0" applyFont="1" applyBorder="1" applyAlignment="1">
      <alignment horizontal="left"/>
    </xf>
    <xf numFmtId="0" fontId="43" fillId="0" borderId="23" xfId="0" applyFont="1" applyBorder="1" applyAlignment="1">
      <alignment horizontal="left"/>
    </xf>
    <xf numFmtId="0" fontId="45" fillId="9" borderId="18" xfId="0" applyFont="1" applyFill="1" applyBorder="1" applyAlignment="1">
      <alignment horizontal="center" vertical="center" wrapText="1"/>
    </xf>
    <xf numFmtId="0" fontId="5" fillId="6" borderId="18" xfId="0" applyFont="1" applyFill="1" applyBorder="1" applyAlignment="1">
      <alignment horizontal="right" wrapText="1"/>
    </xf>
    <xf numFmtId="0" fontId="0" fillId="10" borderId="21" xfId="0" applyFill="1" applyBorder="1" applyAlignment="1">
      <alignment horizontal="justify" vertical="center" wrapText="1"/>
    </xf>
    <xf numFmtId="0" fontId="0" fillId="10" borderId="25" xfId="0" applyFill="1" applyBorder="1" applyAlignment="1">
      <alignment horizontal="justify" vertical="center" wrapText="1"/>
    </xf>
    <xf numFmtId="0" fontId="0" fillId="10" borderId="22" xfId="0" applyFill="1" applyBorder="1" applyAlignment="1">
      <alignment horizontal="justify" vertical="center" wrapText="1"/>
    </xf>
    <xf numFmtId="0" fontId="0" fillId="10" borderId="21"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22" xfId="0" applyFill="1" applyBorder="1" applyAlignment="1">
      <alignment horizontal="center" vertical="center" wrapText="1"/>
    </xf>
    <xf numFmtId="0" fontId="0" fillId="7" borderId="24" xfId="0" applyFill="1" applyBorder="1" applyAlignment="1">
      <alignment horizontal="justify" vertical="center" wrapText="1"/>
    </xf>
    <xf numFmtId="0" fontId="0" fillId="7" borderId="31" xfId="0" applyFill="1" applyBorder="1" applyAlignment="1">
      <alignment horizontal="justify" vertical="center" wrapText="1"/>
    </xf>
    <xf numFmtId="0" fontId="5" fillId="6" borderId="19" xfId="0" applyFont="1" applyFill="1" applyBorder="1" applyAlignment="1">
      <alignment horizontal="center"/>
    </xf>
    <xf numFmtId="0" fontId="5" fillId="6" borderId="20" xfId="0" applyFont="1" applyFill="1" applyBorder="1" applyAlignment="1">
      <alignment horizontal="center"/>
    </xf>
    <xf numFmtId="0" fontId="5" fillId="6" borderId="23" xfId="0" applyFont="1" applyFill="1" applyBorder="1" applyAlignment="1">
      <alignment horizontal="center"/>
    </xf>
    <xf numFmtId="0" fontId="5" fillId="9" borderId="21"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24" fillId="0" borderId="17" xfId="0" applyFont="1" applyBorder="1" applyAlignment="1">
      <alignment horizontal="center"/>
    </xf>
    <xf numFmtId="0" fontId="43" fillId="0" borderId="19" xfId="0" applyFont="1" applyBorder="1" applyAlignment="1">
      <alignment horizontal="left" wrapText="1"/>
    </xf>
    <xf numFmtId="0" fontId="43" fillId="0" borderId="20" xfId="0" applyFont="1" applyBorder="1" applyAlignment="1">
      <alignment horizontal="left" wrapText="1"/>
    </xf>
    <xf numFmtId="0" fontId="43" fillId="0" borderId="23" xfId="0" applyFont="1" applyBorder="1" applyAlignment="1">
      <alignment horizontal="left" wrapText="1"/>
    </xf>
    <xf numFmtId="0" fontId="0" fillId="7" borderId="21" xfId="0" applyFill="1" applyBorder="1" applyAlignment="1">
      <alignment horizontal="justify" vertical="center" wrapText="1"/>
    </xf>
    <xf numFmtId="0" fontId="0" fillId="7" borderId="25" xfId="0" applyFill="1" applyBorder="1" applyAlignment="1">
      <alignment horizontal="justify" vertical="center" wrapText="1"/>
    </xf>
    <xf numFmtId="0" fontId="0" fillId="7" borderId="22" xfId="0" applyFill="1" applyBorder="1" applyAlignment="1">
      <alignment horizontal="justify" vertical="center" wrapText="1"/>
    </xf>
    <xf numFmtId="0" fontId="16" fillId="9" borderId="18" xfId="0" applyFont="1" applyFill="1" applyBorder="1" applyAlignment="1">
      <alignment horizontal="center" vertical="center" wrapText="1"/>
    </xf>
    <xf numFmtId="0" fontId="16" fillId="6" borderId="18" xfId="0" applyFont="1" applyFill="1" applyBorder="1" applyAlignment="1">
      <alignment horizontal="center"/>
    </xf>
    <xf numFmtId="0" fontId="18" fillId="0" borderId="0" xfId="0" applyFont="1" applyAlignment="1">
      <alignment horizontal="center"/>
    </xf>
    <xf numFmtId="0" fontId="20" fillId="0" borderId="18" xfId="0" applyFont="1" applyBorder="1" applyAlignment="1">
      <alignment horizontal="left"/>
    </xf>
    <xf numFmtId="0" fontId="20" fillId="0" borderId="19" xfId="0" applyFont="1" applyBorder="1" applyAlignment="1">
      <alignment horizontal="left"/>
    </xf>
    <xf numFmtId="0" fontId="20" fillId="0" borderId="20" xfId="0" applyFont="1" applyBorder="1" applyAlignment="1">
      <alignment horizontal="left"/>
    </xf>
    <xf numFmtId="0" fontId="20" fillId="0" borderId="23" xfId="0" applyFont="1" applyBorder="1" applyAlignment="1">
      <alignment horizontal="left"/>
    </xf>
    <xf numFmtId="0" fontId="20" fillId="0" borderId="19" xfId="0" applyFont="1" applyBorder="1" applyAlignment="1">
      <alignment horizontal="left" wrapText="1"/>
    </xf>
    <xf numFmtId="0" fontId="20" fillId="0" borderId="20" xfId="0" applyFont="1" applyBorder="1" applyAlignment="1">
      <alignment horizontal="left" wrapText="1"/>
    </xf>
    <xf numFmtId="0" fontId="20" fillId="0" borderId="23" xfId="0" applyFont="1" applyBorder="1" applyAlignment="1">
      <alignment horizontal="left" wrapText="1"/>
    </xf>
    <xf numFmtId="0" fontId="10" fillId="7" borderId="21" xfId="0" applyFont="1" applyFill="1" applyBorder="1" applyAlignment="1">
      <alignment horizontal="left" vertical="center" wrapText="1"/>
    </xf>
    <xf numFmtId="0" fontId="10" fillId="7" borderId="22" xfId="0" applyFont="1" applyFill="1" applyBorder="1" applyAlignment="1">
      <alignment horizontal="left" vertical="center" wrapText="1"/>
    </xf>
    <xf numFmtId="0" fontId="21" fillId="9" borderId="21" xfId="0" applyFont="1" applyFill="1" applyBorder="1" applyAlignment="1">
      <alignment horizontal="center" vertical="center" wrapText="1"/>
    </xf>
    <xf numFmtId="0" fontId="21" fillId="9" borderId="22" xfId="0" applyFont="1" applyFill="1" applyBorder="1" applyAlignment="1">
      <alignment horizontal="center" vertical="center" wrapText="1"/>
    </xf>
    <xf numFmtId="0" fontId="16" fillId="6" borderId="18" xfId="0" applyFont="1" applyFill="1" applyBorder="1" applyAlignment="1">
      <alignment horizontal="center" vertical="center"/>
    </xf>
    <xf numFmtId="0" fontId="21" fillId="6" borderId="19" xfId="0" applyFont="1" applyFill="1" applyBorder="1" applyAlignment="1">
      <alignment horizontal="right"/>
    </xf>
    <xf numFmtId="0" fontId="21" fillId="6" borderId="20" xfId="0" applyFont="1" applyFill="1" applyBorder="1" applyAlignment="1">
      <alignment horizontal="right"/>
    </xf>
    <xf numFmtId="0" fontId="21" fillId="6" borderId="23" xfId="0" applyFont="1" applyFill="1" applyBorder="1" applyAlignment="1">
      <alignment horizontal="right"/>
    </xf>
    <xf numFmtId="0" fontId="16" fillId="9" borderId="21"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0" fillId="7" borderId="25" xfId="0" applyFont="1" applyFill="1" applyBorder="1" applyAlignment="1">
      <alignment horizontal="left" vertical="center" wrapText="1"/>
    </xf>
    <xf numFmtId="0" fontId="10" fillId="7" borderId="18" xfId="0" applyFont="1" applyFill="1" applyBorder="1" applyAlignment="1">
      <alignment horizontal="left" vertical="center" wrapText="1"/>
    </xf>
    <xf numFmtId="0" fontId="6" fillId="15" borderId="18" xfId="0" applyFont="1" applyFill="1" applyBorder="1" applyAlignment="1">
      <alignment horizontal="left"/>
    </xf>
    <xf numFmtId="0" fontId="6" fillId="15" borderId="18" xfId="0" applyFont="1" applyFill="1" applyBorder="1" applyAlignment="1">
      <alignment horizontal="center"/>
    </xf>
    <xf numFmtId="0" fontId="22" fillId="3" borderId="18" xfId="5" applyFont="1" applyBorder="1" applyAlignment="1">
      <alignment horizontal="center"/>
    </xf>
    <xf numFmtId="0" fontId="24" fillId="0" borderId="0" xfId="0" applyFont="1" applyAlignment="1">
      <alignment horizontal="center"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0" fillId="0" borderId="23" xfId="0" applyFont="1" applyBorder="1" applyAlignment="1">
      <alignment horizontal="left" vertical="center"/>
    </xf>
    <xf numFmtId="164" fontId="10" fillId="7" borderId="18" xfId="0" applyNumberFormat="1" applyFont="1" applyFill="1" applyBorder="1" applyAlignment="1">
      <alignment horizontal="center" vertical="center"/>
    </xf>
    <xf numFmtId="0" fontId="21" fillId="6" borderId="19" xfId="0" applyFont="1" applyFill="1" applyBorder="1" applyAlignment="1">
      <alignment horizontal="right" vertical="center"/>
    </xf>
    <xf numFmtId="0" fontId="21" fillId="6" borderId="20" xfId="0" applyFont="1" applyFill="1" applyBorder="1" applyAlignment="1">
      <alignment horizontal="right" vertical="center"/>
    </xf>
    <xf numFmtId="0" fontId="21" fillId="6" borderId="23" xfId="0" applyFont="1" applyFill="1" applyBorder="1" applyAlignment="1">
      <alignment horizontal="right" vertical="center"/>
    </xf>
    <xf numFmtId="0" fontId="16" fillId="6" borderId="19"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25" fillId="7" borderId="21" xfId="0" applyFont="1" applyFill="1" applyBorder="1" applyAlignment="1">
      <alignment vertical="center" wrapText="1"/>
    </xf>
    <xf numFmtId="0" fontId="25" fillId="7" borderId="25" xfId="0" applyFont="1" applyFill="1" applyBorder="1" applyAlignment="1">
      <alignment vertical="center" wrapText="1"/>
    </xf>
    <xf numFmtId="0" fontId="25" fillId="7" borderId="22" xfId="0" applyFont="1" applyFill="1" applyBorder="1" applyAlignment="1">
      <alignment vertical="center" wrapText="1"/>
    </xf>
    <xf numFmtId="164" fontId="25" fillId="7" borderId="21" xfId="0" applyNumberFormat="1" applyFont="1" applyFill="1" applyBorder="1" applyAlignment="1">
      <alignment horizontal="center" vertical="center" wrapText="1"/>
    </xf>
    <xf numFmtId="164" fontId="25" fillId="7" borderId="25" xfId="0" applyNumberFormat="1" applyFont="1" applyFill="1" applyBorder="1" applyAlignment="1">
      <alignment horizontal="center" vertical="center" wrapText="1"/>
    </xf>
    <xf numFmtId="164" fontId="25" fillId="7" borderId="22" xfId="0" applyNumberFormat="1" applyFont="1" applyFill="1" applyBorder="1" applyAlignment="1">
      <alignment horizontal="center" vertical="center" wrapText="1"/>
    </xf>
    <xf numFmtId="0" fontId="25" fillId="10" borderId="21" xfId="0" applyFont="1" applyFill="1" applyBorder="1" applyAlignment="1">
      <alignment horizontal="justify" vertical="center" wrapText="1"/>
    </xf>
    <xf numFmtId="0" fontId="25" fillId="10" borderId="22" xfId="0" applyFont="1" applyFill="1" applyBorder="1" applyAlignment="1">
      <alignment horizontal="justify" vertical="center" wrapText="1"/>
    </xf>
    <xf numFmtId="164" fontId="25" fillId="10" borderId="21" xfId="0" applyNumberFormat="1" applyFont="1" applyFill="1" applyBorder="1" applyAlignment="1">
      <alignment horizontal="center" vertical="center" wrapText="1"/>
    </xf>
    <xf numFmtId="164" fontId="25" fillId="10" borderId="22" xfId="0" applyNumberFormat="1" applyFont="1" applyFill="1" applyBorder="1" applyAlignment="1">
      <alignment horizontal="center" vertical="center" wrapText="1"/>
    </xf>
    <xf numFmtId="0" fontId="16" fillId="6" borderId="19" xfId="0" applyFont="1" applyFill="1" applyBorder="1" applyAlignment="1">
      <alignment horizontal="center" wrapText="1"/>
    </xf>
    <xf numFmtId="0" fontId="16" fillId="6" borderId="20" xfId="0" applyFont="1" applyFill="1" applyBorder="1" applyAlignment="1">
      <alignment horizontal="center" wrapText="1"/>
    </xf>
    <xf numFmtId="0" fontId="16" fillId="6" borderId="23" xfId="0" applyFont="1" applyFill="1" applyBorder="1" applyAlignment="1">
      <alignment horizontal="center" wrapText="1"/>
    </xf>
    <xf numFmtId="0" fontId="9" fillId="0" borderId="0" xfId="0" applyFont="1" applyAlignment="1">
      <alignment horizontal="center"/>
    </xf>
    <xf numFmtId="0" fontId="21" fillId="6" borderId="19" xfId="0" applyFont="1" applyFill="1" applyBorder="1" applyAlignment="1">
      <alignment horizontal="center"/>
    </xf>
    <xf numFmtId="0" fontId="21" fillId="6" borderId="20" xfId="0" applyFont="1" applyFill="1" applyBorder="1" applyAlignment="1">
      <alignment horizontal="center"/>
    </xf>
    <xf numFmtId="0" fontId="21" fillId="6" borderId="23" xfId="0" applyFont="1" applyFill="1" applyBorder="1" applyAlignment="1">
      <alignment horizontal="center"/>
    </xf>
    <xf numFmtId="0" fontId="26" fillId="7" borderId="21" xfId="0" applyFont="1" applyFill="1" applyBorder="1" applyAlignment="1">
      <alignment horizontal="left" vertical="center" wrapText="1"/>
    </xf>
    <xf numFmtId="0" fontId="26" fillId="7" borderId="25" xfId="0" applyFont="1" applyFill="1" applyBorder="1" applyAlignment="1">
      <alignment horizontal="left" vertical="center" wrapText="1"/>
    </xf>
    <xf numFmtId="0" fontId="26" fillId="7" borderId="22" xfId="0" applyFont="1" applyFill="1" applyBorder="1" applyAlignment="1">
      <alignment horizontal="left" vertical="center" wrapText="1"/>
    </xf>
    <xf numFmtId="0" fontId="26" fillId="7" borderId="18" xfId="0" applyFont="1" applyFill="1" applyBorder="1" applyAlignment="1">
      <alignment horizontal="center" vertical="center" wrapText="1"/>
    </xf>
    <xf numFmtId="0" fontId="26" fillId="10" borderId="21" xfId="0" applyFont="1" applyFill="1" applyBorder="1" applyAlignment="1">
      <alignment horizontal="center" vertical="center"/>
    </xf>
    <xf numFmtId="0" fontId="26" fillId="10" borderId="25" xfId="0" applyFont="1" applyFill="1" applyBorder="1" applyAlignment="1">
      <alignment horizontal="center" vertical="center"/>
    </xf>
    <xf numFmtId="0" fontId="26" fillId="10" borderId="22" xfId="0" applyFont="1" applyFill="1" applyBorder="1" applyAlignment="1">
      <alignment horizontal="center" vertical="center"/>
    </xf>
    <xf numFmtId="0" fontId="26" fillId="0" borderId="21" xfId="0" applyFont="1" applyBorder="1" applyAlignment="1">
      <alignment horizontal="left" vertical="center" wrapText="1"/>
    </xf>
    <xf numFmtId="0" fontId="26" fillId="0" borderId="25" xfId="0" applyFont="1" applyBorder="1" applyAlignment="1">
      <alignment horizontal="left" vertical="center" wrapText="1"/>
    </xf>
    <xf numFmtId="0" fontId="26" fillId="0" borderId="22" xfId="0" applyFont="1" applyBorder="1" applyAlignment="1">
      <alignment horizontal="left"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2" xfId="0" applyFont="1" applyBorder="1" applyAlignment="1">
      <alignment horizontal="center" vertical="center" wrapText="1"/>
    </xf>
    <xf numFmtId="164" fontId="10" fillId="7" borderId="21" xfId="0" applyNumberFormat="1" applyFont="1" applyFill="1" applyBorder="1" applyAlignment="1">
      <alignment horizontal="center" vertical="center"/>
    </xf>
    <xf numFmtId="164" fontId="10" fillId="7" borderId="25" xfId="0" applyNumberFormat="1" applyFont="1" applyFill="1" applyBorder="1" applyAlignment="1">
      <alignment horizontal="center" vertical="center"/>
    </xf>
    <xf numFmtId="164" fontId="10" fillId="7" borderId="22" xfId="0" applyNumberFormat="1" applyFont="1" applyFill="1" applyBorder="1" applyAlignment="1">
      <alignment horizontal="center" vertical="center"/>
    </xf>
    <xf numFmtId="0" fontId="10" fillId="7" borderId="21"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18" xfId="0" applyFont="1" applyFill="1" applyBorder="1" applyAlignment="1">
      <alignment horizontal="center" vertical="center" wrapText="1"/>
    </xf>
    <xf numFmtId="9" fontId="10" fillId="7" borderId="18" xfId="0" applyNumberFormat="1" applyFont="1" applyFill="1" applyBorder="1" applyAlignment="1">
      <alignment horizontal="center" vertical="center" wrapText="1"/>
    </xf>
    <xf numFmtId="0" fontId="21" fillId="9" borderId="18" xfId="0" applyFont="1" applyFill="1" applyBorder="1" applyAlignment="1">
      <alignment horizontal="center" vertical="center" wrapText="1"/>
    </xf>
    <xf numFmtId="0" fontId="10" fillId="7" borderId="21" xfId="0" applyFont="1" applyFill="1" applyBorder="1" applyAlignment="1">
      <alignment horizontal="left" vertical="center"/>
    </xf>
    <xf numFmtId="0" fontId="10" fillId="7" borderId="22" xfId="0" applyFont="1" applyFill="1" applyBorder="1" applyAlignment="1">
      <alignment horizontal="left" vertical="center"/>
    </xf>
    <xf numFmtId="0" fontId="10" fillId="19" borderId="18" xfId="0" applyFont="1" applyFill="1" applyBorder="1" applyAlignment="1">
      <alignment horizontal="left" vertical="center"/>
    </xf>
    <xf numFmtId="0" fontId="16" fillId="6" borderId="18" xfId="0" applyFont="1" applyFill="1" applyBorder="1" applyAlignment="1">
      <alignment horizontal="right" wrapText="1"/>
    </xf>
    <xf numFmtId="0" fontId="10" fillId="0" borderId="17" xfId="0" applyFont="1" applyBorder="1" applyAlignment="1">
      <alignment horizontal="center"/>
    </xf>
    <xf numFmtId="0" fontId="16" fillId="6" borderId="19" xfId="0" applyFont="1" applyFill="1" applyBorder="1" applyAlignment="1">
      <alignment horizontal="center" vertical="center"/>
    </xf>
    <xf numFmtId="0" fontId="16" fillId="6" borderId="23" xfId="0" applyFont="1" applyFill="1" applyBorder="1" applyAlignment="1">
      <alignment horizontal="center" vertical="center"/>
    </xf>
    <xf numFmtId="0" fontId="10" fillId="0" borderId="21" xfId="0" applyFont="1" applyBorder="1" applyAlignment="1">
      <alignment horizontal="left" vertical="center"/>
    </xf>
    <xf numFmtId="0" fontId="10" fillId="0" borderId="25" xfId="0" applyFont="1" applyBorder="1" applyAlignment="1">
      <alignment horizontal="left" vertical="center"/>
    </xf>
    <xf numFmtId="0" fontId="10" fillId="0" borderId="22" xfId="0" applyFont="1" applyBorder="1" applyAlignment="1">
      <alignment horizontal="left"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6" fillId="6" borderId="19" xfId="0" applyFont="1" applyFill="1" applyBorder="1" applyAlignment="1">
      <alignment horizontal="center"/>
    </xf>
    <xf numFmtId="0" fontId="16" fillId="6" borderId="20" xfId="0" applyFont="1" applyFill="1" applyBorder="1" applyAlignment="1">
      <alignment horizontal="center"/>
    </xf>
    <xf numFmtId="0" fontId="16" fillId="6" borderId="23" xfId="0" applyFont="1" applyFill="1" applyBorder="1" applyAlignment="1">
      <alignment horizontal="center"/>
    </xf>
    <xf numFmtId="164" fontId="10" fillId="0" borderId="21" xfId="0" applyNumberFormat="1" applyFont="1" applyBorder="1" applyAlignment="1">
      <alignment horizontal="center" vertical="center"/>
    </xf>
    <xf numFmtId="164" fontId="10" fillId="0" borderId="25"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21" xfId="0" applyNumberFormat="1" applyFont="1" applyBorder="1" applyAlignment="1">
      <alignment horizontal="center" vertical="center" wrapText="1"/>
    </xf>
    <xf numFmtId="164" fontId="10" fillId="0" borderId="22" xfId="0" applyNumberFormat="1" applyFont="1" applyBorder="1" applyAlignment="1">
      <alignment horizontal="center" vertical="center" wrapText="1"/>
    </xf>
    <xf numFmtId="0" fontId="10" fillId="0" borderId="25" xfId="0" applyFont="1" applyBorder="1" applyAlignment="1">
      <alignment horizontal="left" vertical="center" wrapText="1"/>
    </xf>
    <xf numFmtId="0" fontId="10" fillId="0" borderId="2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2" xfId="0" applyFont="1" applyBorder="1" applyAlignment="1">
      <alignment horizontal="center" vertical="center" wrapText="1"/>
    </xf>
    <xf numFmtId="168" fontId="16" fillId="9" borderId="21" xfId="0" applyNumberFormat="1" applyFont="1" applyFill="1" applyBorder="1" applyAlignment="1">
      <alignment horizontal="center" vertical="center" wrapText="1"/>
    </xf>
    <xf numFmtId="168" fontId="16" fillId="9" borderId="22" xfId="0" applyNumberFormat="1" applyFont="1" applyFill="1" applyBorder="1" applyAlignment="1">
      <alignment horizontal="center" vertical="center" wrapText="1"/>
    </xf>
    <xf numFmtId="168" fontId="16" fillId="9" borderId="18" xfId="0" applyNumberFormat="1" applyFont="1" applyFill="1" applyBorder="1" applyAlignment="1">
      <alignment horizontal="center" vertical="center" wrapText="1"/>
    </xf>
    <xf numFmtId="0" fontId="16" fillId="6" borderId="19" xfId="0" applyFont="1" applyFill="1" applyBorder="1" applyAlignment="1">
      <alignment horizontal="right"/>
    </xf>
    <xf numFmtId="0" fontId="16" fillId="6" borderId="20" xfId="0" applyFont="1" applyFill="1" applyBorder="1" applyAlignment="1">
      <alignment horizontal="right"/>
    </xf>
    <xf numFmtId="0" fontId="16" fillId="6" borderId="23" xfId="0" applyFont="1" applyFill="1" applyBorder="1" applyAlignment="1">
      <alignment horizontal="right"/>
    </xf>
    <xf numFmtId="0" fontId="10" fillId="7" borderId="25" xfId="0" applyFont="1" applyFill="1" applyBorder="1" applyAlignment="1">
      <alignment horizontal="left" vertical="center"/>
    </xf>
    <xf numFmtId="0" fontId="30" fillId="20" borderId="21" xfId="0" applyFont="1" applyFill="1" applyBorder="1" applyAlignment="1">
      <alignment horizontal="left" vertical="center" wrapText="1"/>
    </xf>
    <xf numFmtId="0" fontId="30" fillId="20" borderId="30" xfId="0" applyFont="1" applyFill="1" applyBorder="1" applyAlignment="1">
      <alignment horizontal="left" vertical="center" wrapText="1"/>
    </xf>
    <xf numFmtId="43" fontId="10" fillId="10" borderId="29" xfId="1" applyFont="1" applyFill="1" applyBorder="1" applyAlignment="1">
      <alignment horizontal="center" vertical="center" wrapText="1"/>
    </xf>
    <xf numFmtId="43" fontId="10" fillId="10" borderId="27" xfId="1" applyFont="1" applyFill="1" applyBorder="1" applyAlignment="1">
      <alignment horizontal="center" vertical="center" wrapText="1"/>
    </xf>
    <xf numFmtId="0" fontId="16" fillId="9" borderId="19" xfId="0" applyFont="1" applyFill="1" applyBorder="1" applyAlignment="1">
      <alignment horizontal="center" vertical="center" wrapText="1"/>
    </xf>
    <xf numFmtId="0" fontId="10" fillId="7" borderId="21" xfId="0" applyFont="1" applyFill="1" applyBorder="1" applyAlignment="1">
      <alignment horizontal="justify" vertical="center" wrapText="1"/>
    </xf>
    <xf numFmtId="0" fontId="10" fillId="7" borderId="25" xfId="0" applyFont="1" applyFill="1" applyBorder="1" applyAlignment="1">
      <alignment horizontal="justify" vertical="center" wrapText="1"/>
    </xf>
    <xf numFmtId="0" fontId="45" fillId="6" borderId="38" xfId="0" applyFont="1" applyFill="1" applyBorder="1" applyAlignment="1">
      <alignment horizontal="right"/>
    </xf>
    <xf numFmtId="0" fontId="45" fillId="6" borderId="39" xfId="0" applyFont="1" applyFill="1" applyBorder="1" applyAlignment="1">
      <alignment horizontal="right"/>
    </xf>
    <xf numFmtId="0" fontId="46" fillId="11" borderId="64" xfId="0" applyFont="1" applyFill="1" applyBorder="1" applyAlignment="1">
      <alignment horizontal="center" vertical="center" wrapText="1"/>
    </xf>
    <xf numFmtId="0" fontId="46" fillId="11" borderId="25" xfId="0" applyFont="1" applyFill="1" applyBorder="1" applyAlignment="1">
      <alignment horizontal="center" vertical="center" wrapText="1"/>
    </xf>
    <xf numFmtId="0" fontId="46" fillId="11" borderId="39" xfId="0" applyFont="1" applyFill="1" applyBorder="1" applyAlignment="1">
      <alignment horizontal="center" vertical="center" wrapText="1"/>
    </xf>
    <xf numFmtId="9" fontId="46" fillId="11" borderId="64" xfId="0" applyNumberFormat="1" applyFont="1" applyFill="1" applyBorder="1" applyAlignment="1">
      <alignment horizontal="center" vertical="center" wrapText="1"/>
    </xf>
    <xf numFmtId="9" fontId="46" fillId="11" borderId="25" xfId="0" applyNumberFormat="1" applyFont="1" applyFill="1" applyBorder="1" applyAlignment="1">
      <alignment horizontal="center" vertical="center" wrapText="1"/>
    </xf>
    <xf numFmtId="9" fontId="46" fillId="11" borderId="39" xfId="0" applyNumberFormat="1" applyFont="1" applyFill="1" applyBorder="1" applyAlignment="1">
      <alignment horizontal="center" vertical="center" wrapText="1"/>
    </xf>
    <xf numFmtId="0" fontId="0" fillId="0" borderId="22" xfId="0" applyBorder="1" applyAlignment="1">
      <alignment horizontal="left" vertical="center" wrapText="1"/>
    </xf>
    <xf numFmtId="0" fontId="0" fillId="0" borderId="18"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46" fillId="0" borderId="65" xfId="0" applyFont="1" applyBorder="1" applyAlignment="1">
      <alignment horizontal="left" vertical="center" wrapText="1"/>
    </xf>
    <xf numFmtId="0" fontId="46" fillId="0" borderId="25" xfId="0" applyFont="1" applyBorder="1" applyAlignment="1">
      <alignment horizontal="left" vertical="center" wrapText="1"/>
    </xf>
    <xf numFmtId="0" fontId="46" fillId="11" borderId="63" xfId="0" applyFont="1" applyFill="1" applyBorder="1" applyAlignment="1">
      <alignment horizontal="left" vertical="center" wrapText="1"/>
    </xf>
    <xf numFmtId="0" fontId="46" fillId="11" borderId="65" xfId="0" applyFont="1" applyFill="1" applyBorder="1" applyAlignment="1">
      <alignment horizontal="left" vertical="center" wrapText="1"/>
    </xf>
    <xf numFmtId="0" fontId="46" fillId="11" borderId="38" xfId="0" applyFont="1" applyFill="1" applyBorder="1" applyAlignment="1">
      <alignment horizontal="left" vertical="center" wrapText="1"/>
    </xf>
    <xf numFmtId="0" fontId="45" fillId="9" borderId="41"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2" xfId="0" applyFont="1" applyFill="1" applyBorder="1" applyAlignment="1">
      <alignment horizontal="center" vertical="center" wrapText="1"/>
    </xf>
    <xf numFmtId="0" fontId="45" fillId="9" borderId="47" xfId="0" applyFont="1" applyFill="1" applyBorder="1" applyAlignment="1">
      <alignment horizontal="center" vertical="center" wrapText="1"/>
    </xf>
    <xf numFmtId="0" fontId="45" fillId="6" borderId="42" xfId="0" applyFont="1" applyFill="1" applyBorder="1" applyAlignment="1">
      <alignment horizontal="center" vertical="center"/>
    </xf>
    <xf numFmtId="0" fontId="5" fillId="6" borderId="42" xfId="0" applyFont="1" applyFill="1" applyBorder="1" applyAlignment="1">
      <alignment horizontal="center"/>
    </xf>
    <xf numFmtId="0" fontId="45" fillId="9" borderId="43" xfId="0" applyFont="1" applyFill="1" applyBorder="1" applyAlignment="1">
      <alignment horizontal="center" vertical="center" wrapText="1"/>
    </xf>
    <xf numFmtId="0" fontId="45" fillId="9" borderId="48" xfId="0" applyFont="1" applyFill="1" applyBorder="1" applyAlignment="1">
      <alignment horizontal="center" vertical="center" wrapText="1"/>
    </xf>
    <xf numFmtId="0" fontId="46" fillId="7" borderId="41" xfId="0" applyFont="1" applyFill="1" applyBorder="1" applyAlignment="1">
      <alignment horizontal="left" vertical="center" wrapText="1"/>
    </xf>
    <xf numFmtId="0" fontId="46" fillId="7" borderId="44" xfId="0" applyFont="1" applyFill="1" applyBorder="1" applyAlignment="1">
      <alignment horizontal="left" vertical="center" wrapText="1"/>
    </xf>
    <xf numFmtId="0" fontId="46" fillId="7" borderId="60" xfId="0" applyFont="1" applyFill="1" applyBorder="1" applyAlignment="1">
      <alignment horizontal="left" vertical="center" wrapText="1"/>
    </xf>
    <xf numFmtId="164" fontId="46" fillId="7" borderId="42" xfId="0" applyNumberFormat="1" applyFont="1" applyFill="1" applyBorder="1" applyAlignment="1">
      <alignment horizontal="center" vertical="center" wrapText="1"/>
    </xf>
    <xf numFmtId="164" fontId="46" fillId="7" borderId="22" xfId="0" applyNumberFormat="1" applyFont="1" applyFill="1" applyBorder="1" applyAlignment="1">
      <alignment horizontal="center" vertical="center" wrapText="1"/>
    </xf>
    <xf numFmtId="164" fontId="46" fillId="7" borderId="21" xfId="0" applyNumberFormat="1" applyFont="1" applyFill="1" applyBorder="1" applyAlignment="1">
      <alignment horizontal="center" vertical="center" wrapText="1"/>
    </xf>
    <xf numFmtId="0" fontId="46" fillId="0" borderId="63" xfId="0" applyFont="1" applyBorder="1" applyAlignment="1">
      <alignment horizontal="left" vertical="center" wrapText="1"/>
    </xf>
    <xf numFmtId="0" fontId="46" fillId="0" borderId="64" xfId="0" applyFont="1" applyBorder="1" applyAlignment="1">
      <alignment horizontal="center" vertical="center" wrapText="1"/>
    </xf>
    <xf numFmtId="0" fontId="46" fillId="0" borderId="25" xfId="0" applyFont="1" applyBorder="1" applyAlignment="1">
      <alignment horizontal="center" vertical="center" wrapText="1"/>
    </xf>
    <xf numFmtId="164" fontId="46" fillId="0" borderId="64" xfId="0" applyNumberFormat="1" applyFont="1" applyBorder="1" applyAlignment="1">
      <alignment horizontal="center" vertical="center" wrapText="1"/>
    </xf>
    <xf numFmtId="164" fontId="46" fillId="0" borderId="25" xfId="0" applyNumberFormat="1" applyFont="1" applyBorder="1" applyAlignment="1">
      <alignment horizontal="center" vertical="center" wrapText="1"/>
    </xf>
    <xf numFmtId="164" fontId="46" fillId="11" borderId="64" xfId="0" applyNumberFormat="1" applyFont="1" applyFill="1" applyBorder="1" applyAlignment="1">
      <alignment horizontal="center" vertical="center" wrapText="1"/>
    </xf>
    <xf numFmtId="164" fontId="46" fillId="11" borderId="25" xfId="0" applyNumberFormat="1" applyFont="1" applyFill="1" applyBorder="1" applyAlignment="1">
      <alignment horizontal="center" vertical="center" wrapText="1"/>
    </xf>
    <xf numFmtId="164" fontId="46" fillId="11" borderId="39" xfId="0" applyNumberFormat="1" applyFont="1" applyFill="1" applyBorder="1" applyAlignment="1">
      <alignment horizontal="center" vertical="center" wrapText="1"/>
    </xf>
    <xf numFmtId="0" fontId="0" fillId="0" borderId="41" xfId="0" applyBorder="1" applyAlignment="1">
      <alignment horizontal="left" vertical="center" wrapText="1"/>
    </xf>
    <xf numFmtId="0" fontId="0" fillId="0" borderId="60" xfId="0" applyBorder="1" applyAlignment="1">
      <alignment horizontal="left" vertical="center" wrapText="1"/>
    </xf>
    <xf numFmtId="164" fontId="46" fillId="0" borderId="42" xfId="0" applyNumberFormat="1" applyFont="1" applyBorder="1" applyAlignment="1">
      <alignment horizontal="center" vertical="center" wrapText="1"/>
    </xf>
    <xf numFmtId="164" fontId="46" fillId="0" borderId="21" xfId="0" applyNumberFormat="1" applyFont="1" applyBorder="1" applyAlignment="1">
      <alignment horizontal="center" vertical="center" wrapText="1"/>
    </xf>
    <xf numFmtId="0" fontId="46" fillId="7" borderId="63" xfId="0" applyFont="1" applyFill="1" applyBorder="1" applyAlignment="1">
      <alignment horizontal="left" vertical="center" wrapText="1"/>
    </xf>
    <xf numFmtId="0" fontId="46" fillId="7" borderId="65" xfId="0" applyFont="1" applyFill="1" applyBorder="1" applyAlignment="1">
      <alignment horizontal="left" vertical="center" wrapText="1"/>
    </xf>
    <xf numFmtId="0" fontId="46" fillId="7" borderId="38" xfId="0" applyFont="1" applyFill="1" applyBorder="1" applyAlignment="1">
      <alignment horizontal="left" vertical="center" wrapText="1"/>
    </xf>
    <xf numFmtId="0" fontId="46" fillId="7" borderId="64" xfId="0" applyFont="1" applyFill="1" applyBorder="1" applyAlignment="1">
      <alignment horizontal="left" vertical="center" wrapText="1"/>
    </xf>
    <xf numFmtId="0" fontId="46" fillId="7" borderId="25" xfId="0" applyFont="1" applyFill="1" applyBorder="1" applyAlignment="1">
      <alignment horizontal="left" vertical="center" wrapText="1"/>
    </xf>
    <xf numFmtId="0" fontId="46" fillId="7" borderId="39" xfId="0" applyFont="1" applyFill="1" applyBorder="1" applyAlignment="1">
      <alignment horizontal="left" vertical="center" wrapText="1"/>
    </xf>
    <xf numFmtId="0" fontId="46" fillId="7" borderId="64" xfId="0" applyFont="1" applyFill="1" applyBorder="1" applyAlignment="1">
      <alignment horizontal="center" vertical="center" wrapText="1"/>
    </xf>
    <xf numFmtId="0" fontId="46" fillId="7" borderId="25" xfId="0" applyFont="1" applyFill="1" applyBorder="1" applyAlignment="1">
      <alignment horizontal="center" vertical="center" wrapText="1"/>
    </xf>
    <xf numFmtId="0" fontId="46" fillId="7" borderId="39" xfId="0" applyFont="1" applyFill="1" applyBorder="1" applyAlignment="1">
      <alignment horizontal="center" vertical="center" wrapText="1"/>
    </xf>
    <xf numFmtId="9" fontId="46" fillId="7" borderId="64" xfId="0" applyNumberFormat="1" applyFont="1" applyFill="1" applyBorder="1" applyAlignment="1">
      <alignment horizontal="center" vertical="center" wrapText="1"/>
    </xf>
    <xf numFmtId="9" fontId="46" fillId="7" borderId="25" xfId="0" applyNumberFormat="1" applyFont="1" applyFill="1" applyBorder="1" applyAlignment="1">
      <alignment horizontal="center" vertical="center" wrapText="1"/>
    </xf>
    <xf numFmtId="9" fontId="46" fillId="7" borderId="39" xfId="0" applyNumberFormat="1" applyFont="1" applyFill="1" applyBorder="1" applyAlignment="1">
      <alignment horizontal="center" vertical="center" wrapText="1"/>
    </xf>
    <xf numFmtId="164" fontId="46" fillId="7" borderId="13" xfId="0" applyNumberFormat="1" applyFont="1" applyFill="1" applyBorder="1" applyAlignment="1">
      <alignment horizontal="center" vertical="center" wrapText="1"/>
    </xf>
    <xf numFmtId="164" fontId="46" fillId="7" borderId="67" xfId="0" applyNumberFormat="1" applyFont="1" applyFill="1" applyBorder="1" applyAlignment="1">
      <alignment horizontal="center" vertical="center" wrapText="1"/>
    </xf>
    <xf numFmtId="164" fontId="46" fillId="7" borderId="40" xfId="0" applyNumberFormat="1" applyFont="1" applyFill="1" applyBorder="1" applyAlignment="1">
      <alignment horizontal="center" vertical="center" wrapText="1"/>
    </xf>
    <xf numFmtId="9" fontId="0" fillId="0" borderId="22" xfId="0" applyNumberFormat="1" applyBorder="1" applyAlignment="1">
      <alignment horizontal="center" vertical="center" wrapText="1"/>
    </xf>
    <xf numFmtId="9" fontId="0" fillId="0" borderId="18" xfId="0" applyNumberFormat="1" applyBorder="1" applyAlignment="1">
      <alignment horizontal="center" vertical="center" wrapText="1"/>
    </xf>
    <xf numFmtId="9" fontId="0" fillId="0" borderId="21" xfId="0" applyNumberFormat="1" applyBorder="1" applyAlignment="1">
      <alignment horizontal="center" vertical="center" wrapText="1"/>
    </xf>
    <xf numFmtId="164" fontId="46" fillId="0" borderId="22" xfId="0" applyNumberFormat="1" applyFont="1" applyBorder="1" applyAlignment="1">
      <alignment horizontal="center" vertical="center" wrapText="1"/>
    </xf>
    <xf numFmtId="164" fontId="46" fillId="0" borderId="18" xfId="0" applyNumberFormat="1" applyFont="1" applyBorder="1" applyAlignment="1">
      <alignment horizontal="center" vertical="center" wrapText="1"/>
    </xf>
    <xf numFmtId="0" fontId="46" fillId="7" borderId="46" xfId="0" applyFont="1" applyFill="1" applyBorder="1" applyAlignment="1">
      <alignment horizontal="left" vertical="center" wrapText="1"/>
    </xf>
    <xf numFmtId="164" fontId="46" fillId="7" borderId="18" xfId="0" applyNumberFormat="1" applyFont="1" applyFill="1" applyBorder="1" applyAlignment="1">
      <alignment horizontal="center" vertical="center" wrapText="1"/>
    </xf>
    <xf numFmtId="164" fontId="46" fillId="7" borderId="47" xfId="0" applyNumberFormat="1" applyFont="1" applyFill="1" applyBorder="1" applyAlignment="1">
      <alignment horizontal="center" vertical="center" wrapText="1"/>
    </xf>
    <xf numFmtId="0" fontId="0" fillId="7" borderId="43" xfId="0" applyFill="1" applyBorder="1" applyAlignment="1">
      <alignment horizontal="center" vertical="center" wrapText="1"/>
    </xf>
    <xf numFmtId="0" fontId="0" fillId="7" borderId="45" xfId="0" applyFill="1" applyBorder="1" applyAlignment="1">
      <alignment horizontal="center" vertical="center" wrapText="1"/>
    </xf>
    <xf numFmtId="0" fontId="0" fillId="7" borderId="48" xfId="0" applyFill="1" applyBorder="1" applyAlignment="1">
      <alignment horizontal="center" vertical="center" wrapText="1"/>
    </xf>
    <xf numFmtId="0" fontId="29" fillId="0" borderId="18" xfId="0" applyFont="1" applyBorder="1" applyAlignment="1">
      <alignment horizontal="left"/>
    </xf>
    <xf numFmtId="0" fontId="25" fillId="7" borderId="18" xfId="0" applyFont="1" applyFill="1" applyBorder="1" applyAlignment="1">
      <alignment horizontal="left" vertical="center" wrapText="1"/>
    </xf>
    <xf numFmtId="164" fontId="25" fillId="7" borderId="18" xfId="0" applyNumberFormat="1" applyFont="1" applyFill="1" applyBorder="1" applyAlignment="1">
      <alignment horizontal="center" vertical="center" wrapText="1"/>
    </xf>
    <xf numFmtId="0" fontId="25" fillId="7" borderId="21" xfId="0" applyFont="1" applyFill="1" applyBorder="1" applyAlignment="1">
      <alignment horizontal="center" vertical="center" wrapText="1"/>
    </xf>
    <xf numFmtId="0" fontId="25" fillId="7" borderId="22" xfId="0" applyFont="1" applyFill="1" applyBorder="1" applyAlignment="1">
      <alignment horizontal="center" vertical="center" wrapText="1"/>
    </xf>
    <xf numFmtId="0" fontId="25" fillId="7" borderId="21" xfId="0" applyFont="1" applyFill="1" applyBorder="1" applyAlignment="1">
      <alignment horizontal="left" vertical="center" wrapText="1"/>
    </xf>
    <xf numFmtId="0" fontId="25" fillId="7" borderId="22" xfId="0" applyFont="1" applyFill="1" applyBorder="1" applyAlignment="1">
      <alignment horizontal="left" vertical="center" wrapText="1"/>
    </xf>
    <xf numFmtId="43" fontId="25" fillId="7" borderId="21" xfId="1" applyFont="1" applyFill="1" applyBorder="1" applyAlignment="1">
      <alignment horizontal="center" vertical="center" wrapText="1"/>
    </xf>
    <xf numFmtId="43" fontId="25" fillId="7" borderId="22" xfId="1" applyFont="1" applyFill="1" applyBorder="1" applyAlignment="1">
      <alignment horizontal="center" vertical="center" wrapText="1"/>
    </xf>
    <xf numFmtId="0" fontId="25" fillId="10" borderId="18" xfId="0" applyFont="1" applyFill="1" applyBorder="1" applyAlignment="1">
      <alignment horizontal="left" vertical="center" wrapText="1"/>
    </xf>
    <xf numFmtId="0" fontId="25" fillId="10" borderId="21" xfId="0" applyFont="1" applyFill="1" applyBorder="1" applyAlignment="1">
      <alignment horizontal="center" vertical="center" wrapText="1"/>
    </xf>
    <xf numFmtId="0" fontId="25" fillId="10" borderId="25"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25" fillId="10" borderId="21" xfId="0" applyFont="1" applyFill="1" applyBorder="1" applyAlignment="1">
      <alignment horizontal="center" vertical="center"/>
    </xf>
    <xf numFmtId="0" fontId="25" fillId="10" borderId="25" xfId="0" applyFont="1" applyFill="1" applyBorder="1" applyAlignment="1">
      <alignment horizontal="center" vertical="center"/>
    </xf>
    <xf numFmtId="0" fontId="25" fillId="10" borderId="22" xfId="0" applyFont="1" applyFill="1" applyBorder="1" applyAlignment="1">
      <alignment horizontal="center" vertical="center"/>
    </xf>
    <xf numFmtId="0" fontId="25" fillId="10" borderId="18" xfId="0" applyFont="1" applyFill="1" applyBorder="1" applyAlignment="1">
      <alignment horizontal="left" vertical="center"/>
    </xf>
    <xf numFmtId="0" fontId="21" fillId="6" borderId="18" xfId="0" applyFont="1" applyFill="1" applyBorder="1" applyAlignment="1">
      <alignment horizontal="right" vertical="center" wrapText="1"/>
    </xf>
    <xf numFmtId="0" fontId="34" fillId="7" borderId="25" xfId="0" applyFont="1" applyFill="1" applyBorder="1" applyAlignment="1">
      <alignment horizontal="center" vertical="center" wrapText="1"/>
    </xf>
    <xf numFmtId="0" fontId="34" fillId="7" borderId="22" xfId="0" applyFont="1" applyFill="1" applyBorder="1" applyAlignment="1">
      <alignment horizontal="center" vertical="center" wrapText="1"/>
    </xf>
    <xf numFmtId="165" fontId="25" fillId="7" borderId="21" xfId="0" applyNumberFormat="1" applyFont="1" applyFill="1" applyBorder="1" applyAlignment="1">
      <alignment horizontal="center" vertical="center" wrapText="1"/>
    </xf>
    <xf numFmtId="165" fontId="25" fillId="7" borderId="25" xfId="0" applyNumberFormat="1" applyFont="1" applyFill="1" applyBorder="1" applyAlignment="1">
      <alignment horizontal="center" vertical="center" wrapText="1"/>
    </xf>
    <xf numFmtId="165" fontId="25" fillId="7" borderId="22" xfId="0" applyNumberFormat="1" applyFont="1" applyFill="1" applyBorder="1" applyAlignment="1">
      <alignment horizontal="center" vertical="center" wrapText="1"/>
    </xf>
    <xf numFmtId="0" fontId="11" fillId="6" borderId="14" xfId="7" applyFont="1" applyFill="1" applyBorder="1" applyAlignment="1">
      <alignment horizontal="right"/>
    </xf>
    <xf numFmtId="0" fontId="11" fillId="6" borderId="15" xfId="7" applyFont="1" applyFill="1" applyBorder="1" applyAlignment="1">
      <alignment horizontal="right"/>
    </xf>
    <xf numFmtId="0" fontId="16" fillId="22" borderId="18" xfId="0" applyFont="1" applyFill="1" applyBorder="1" applyAlignment="1">
      <alignment horizontal="center" vertical="center" wrapText="1"/>
    </xf>
    <xf numFmtId="0" fontId="21" fillId="22" borderId="21" xfId="0" applyFont="1" applyFill="1" applyBorder="1" applyAlignment="1">
      <alignment horizontal="center" vertical="center" wrapText="1"/>
    </xf>
    <xf numFmtId="0" fontId="21" fillId="22" borderId="22" xfId="0" applyFont="1" applyFill="1" applyBorder="1" applyAlignment="1">
      <alignment horizontal="center" vertical="center" wrapText="1"/>
    </xf>
    <xf numFmtId="0" fontId="16" fillId="21" borderId="18" xfId="0" applyFont="1" applyFill="1" applyBorder="1" applyAlignment="1">
      <alignment horizontal="center" vertical="center"/>
    </xf>
    <xf numFmtId="0" fontId="16" fillId="21" borderId="18" xfId="0" applyFont="1" applyFill="1" applyBorder="1" applyAlignment="1">
      <alignment horizontal="center"/>
    </xf>
    <xf numFmtId="0" fontId="10" fillId="10" borderId="21" xfId="0" applyFont="1" applyFill="1" applyBorder="1" applyAlignment="1">
      <alignment horizontal="left" vertical="center" wrapText="1"/>
    </xf>
    <xf numFmtId="0" fontId="10" fillId="10" borderId="22" xfId="0" applyFont="1" applyFill="1" applyBorder="1" applyAlignment="1">
      <alignment horizontal="left" vertical="center" wrapText="1"/>
    </xf>
    <xf numFmtId="44" fontId="10" fillId="7" borderId="21" xfId="0" applyNumberFormat="1" applyFont="1" applyFill="1" applyBorder="1" applyAlignment="1">
      <alignment horizontal="center" vertical="center"/>
    </xf>
    <xf numFmtId="44" fontId="10" fillId="7" borderId="22" xfId="0" applyNumberFormat="1" applyFont="1" applyFill="1" applyBorder="1" applyAlignment="1">
      <alignment horizontal="center" vertical="center"/>
    </xf>
    <xf numFmtId="164" fontId="10" fillId="0" borderId="21" xfId="2" applyNumberFormat="1" applyFont="1" applyBorder="1" applyAlignment="1">
      <alignment horizontal="center" vertical="center"/>
    </xf>
    <xf numFmtId="164" fontId="10" fillId="0" borderId="22" xfId="2" applyNumberFormat="1"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6" fillId="6" borderId="19" xfId="0" applyFont="1" applyFill="1" applyBorder="1" applyAlignment="1">
      <alignment horizontal="right" vertical="center" wrapText="1"/>
    </xf>
    <xf numFmtId="0" fontId="16" fillId="6" borderId="20" xfId="0" applyFont="1" applyFill="1" applyBorder="1" applyAlignment="1">
      <alignment horizontal="right" vertical="center" wrapText="1"/>
    </xf>
    <xf numFmtId="0" fontId="16" fillId="6" borderId="23" xfId="0" applyFont="1" applyFill="1" applyBorder="1" applyAlignment="1">
      <alignment horizontal="right" vertical="center" wrapText="1"/>
    </xf>
    <xf numFmtId="44" fontId="10" fillId="0" borderId="21" xfId="2" applyFont="1" applyBorder="1" applyAlignment="1">
      <alignment horizontal="center" vertical="center" wrapText="1"/>
    </xf>
    <xf numFmtId="44" fontId="10" fillId="0" borderId="22" xfId="2" applyFont="1" applyBorder="1" applyAlignment="1">
      <alignment horizontal="center" vertical="center" wrapText="1"/>
    </xf>
    <xf numFmtId="0" fontId="10" fillId="10" borderId="25" xfId="0" applyFont="1" applyFill="1" applyBorder="1" applyAlignment="1">
      <alignment horizontal="left" vertical="center" wrapText="1"/>
    </xf>
    <xf numFmtId="0" fontId="10" fillId="10" borderId="21"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22" xfId="0" applyFont="1" applyFill="1" applyBorder="1" applyAlignment="1">
      <alignment horizontal="center" vertical="center" wrapText="1"/>
    </xf>
    <xf numFmtId="44" fontId="16" fillId="22" borderId="18" xfId="2" applyFont="1" applyFill="1" applyBorder="1" applyAlignment="1">
      <alignment horizontal="center" vertical="center" wrapText="1"/>
    </xf>
    <xf numFmtId="0" fontId="16" fillId="22" borderId="21" xfId="0" applyFont="1" applyFill="1" applyBorder="1" applyAlignment="1">
      <alignment horizontal="center" vertical="center" wrapText="1"/>
    </xf>
    <xf numFmtId="0" fontId="16" fillId="22" borderId="22" xfId="0" applyFont="1" applyFill="1" applyBorder="1" applyAlignment="1">
      <alignment horizontal="center" vertical="center" wrapText="1"/>
    </xf>
    <xf numFmtId="44" fontId="16" fillId="22" borderId="21" xfId="2" applyFont="1" applyFill="1" applyBorder="1" applyAlignment="1">
      <alignment horizontal="center" vertical="center" wrapText="1"/>
    </xf>
    <xf numFmtId="44" fontId="16" fillId="22" borderId="22" xfId="2" applyFont="1" applyFill="1" applyBorder="1" applyAlignment="1">
      <alignment horizontal="center" vertical="center" wrapText="1"/>
    </xf>
    <xf numFmtId="0" fontId="17" fillId="0" borderId="17" xfId="0" applyFont="1" applyBorder="1" applyAlignment="1">
      <alignment horizontal="center"/>
    </xf>
    <xf numFmtId="0" fontId="16" fillId="6" borderId="18" xfId="0" applyFont="1" applyFill="1" applyBorder="1" applyAlignment="1">
      <alignment horizontal="right"/>
    </xf>
    <xf numFmtId="0" fontId="18" fillId="0" borderId="0" xfId="0" applyFont="1" applyAlignment="1">
      <alignment horizontal="center" wrapText="1"/>
    </xf>
    <xf numFmtId="0" fontId="20" fillId="0" borderId="18" xfId="0" applyFont="1" applyBorder="1" applyAlignment="1">
      <alignment horizontal="left" wrapText="1"/>
    </xf>
    <xf numFmtId="0" fontId="16" fillId="21" borderId="18" xfId="0" applyFont="1" applyFill="1" applyBorder="1" applyAlignment="1">
      <alignment horizontal="center" vertical="center" wrapText="1"/>
    </xf>
    <xf numFmtId="0" fontId="16" fillId="21" borderId="18" xfId="0" applyFont="1" applyFill="1" applyBorder="1" applyAlignment="1">
      <alignment horizont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3" xfId="0" applyFont="1" applyBorder="1" applyAlignment="1">
      <alignment horizontal="left" vertical="center" wrapText="1"/>
    </xf>
    <xf numFmtId="0" fontId="9" fillId="0" borderId="55" xfId="0" applyFont="1" applyBorder="1" applyAlignment="1">
      <alignment horizontal="center" wrapText="1"/>
    </xf>
    <xf numFmtId="0" fontId="9" fillId="0" borderId="55" xfId="0" applyFont="1" applyBorder="1" applyAlignment="1">
      <alignment horizontal="center"/>
    </xf>
    <xf numFmtId="0" fontId="9" fillId="0" borderId="50" xfId="0" applyFont="1" applyBorder="1" applyAlignment="1">
      <alignment horizontal="center"/>
    </xf>
    <xf numFmtId="0" fontId="38" fillId="6" borderId="14" xfId="0" applyFont="1" applyFill="1" applyBorder="1" applyAlignment="1">
      <alignment horizontal="right"/>
    </xf>
    <xf numFmtId="0" fontId="38" fillId="6" borderId="16" xfId="0" applyFont="1" applyFill="1" applyBorder="1" applyAlignment="1">
      <alignment horizontal="right"/>
    </xf>
    <xf numFmtId="0" fontId="9" fillId="0" borderId="17" xfId="0" applyFont="1" applyBorder="1" applyAlignment="1">
      <alignment horizontal="center"/>
    </xf>
  </cellXfs>
  <cellStyles count="9">
    <cellStyle name="Bad" xfId="5" builtinId="27"/>
    <cellStyle name="Calculation" xfId="6" builtinId="22"/>
    <cellStyle name="Comma" xfId="1" builtinId="3"/>
    <cellStyle name="Comma 2" xfId="8" xr:uid="{9B013613-300D-4420-81C9-784D868DDFED}"/>
    <cellStyle name="Currency" xfId="2" builtinId="4"/>
    <cellStyle name="Good" xfId="4" builtinId="26"/>
    <cellStyle name="Normal" xfId="0" builtinId="0"/>
    <cellStyle name="Normal 2" xfId="7" xr:uid="{4A045EAD-90E3-4AFE-B176-4324EC2137E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Objeto de Gasto'!$D$5:$D$9</c:f>
              <c:strCache>
                <c:ptCount val="5"/>
                <c:pt idx="0">
                  <c:v> Servicios personales  </c:v>
                </c:pt>
                <c:pt idx="1">
                  <c:v> Servicios no personales  </c:v>
                </c:pt>
                <c:pt idx="2">
                  <c:v> Materiales y suministros  </c:v>
                </c:pt>
                <c:pt idx="3">
                  <c:v>Transferencias corrientes</c:v>
                </c:pt>
                <c:pt idx="4">
                  <c:v> Activos no financieros  </c:v>
                </c:pt>
              </c:strCache>
            </c:strRef>
          </c:cat>
          <c:val>
            <c:numRef>
              <c:f>'Presupuesto por Objeto de Gasto'!$E$5:$E$9</c:f>
              <c:numCache>
                <c:formatCode>0%</c:formatCode>
                <c:ptCount val="5"/>
                <c:pt idx="0">
                  <c:v>0.70043001104020597</c:v>
                </c:pt>
                <c:pt idx="1">
                  <c:v>0.24909883633820723</c:v>
                </c:pt>
                <c:pt idx="2">
                  <c:v>4.3278416227855471E-2</c:v>
                </c:pt>
                <c:pt idx="3">
                  <c:v>0</c:v>
                </c:pt>
                <c:pt idx="4">
                  <c:v>7.1927363937313235E-3</c:v>
                </c:pt>
              </c:numCache>
            </c:numRef>
          </c:val>
          <c:extLst>
            <c:ext xmlns:c16="http://schemas.microsoft.com/office/drawing/2014/chart" uri="{C3380CC4-5D6E-409C-BE32-E72D297353CC}">
              <c16:uniqueId val="{00000000-0928-47F8-A546-E85705266E40}"/>
            </c:ext>
          </c:extLst>
        </c:ser>
        <c:dLbls>
          <c:dLblPos val="outEnd"/>
          <c:showLegendKey val="0"/>
          <c:showVal val="1"/>
          <c:showCatName val="0"/>
          <c:showSerName val="0"/>
          <c:showPercent val="0"/>
          <c:showBubbleSize val="0"/>
        </c:dLbls>
        <c:gapWidth val="182"/>
        <c:axId val="90385776"/>
        <c:axId val="90387088"/>
      </c:barChart>
      <c:catAx>
        <c:axId val="90385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387088"/>
        <c:crosses val="autoZero"/>
        <c:auto val="1"/>
        <c:lblAlgn val="ctr"/>
        <c:lblOffset val="100"/>
        <c:noMultiLvlLbl val="0"/>
      </c:catAx>
      <c:valAx>
        <c:axId val="903870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385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C1A-4772-8281-5AB08B93678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C1A-4772-8281-5AB08B93678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C1A-4772-8281-5AB08B93678C}"/>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Gotham" panose="02000504050000020004" pitchFamily="2"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'Presupuesto por Programatica'!$J$4:$J$6</c:f>
              <c:strCache>
                <c:ptCount val="3"/>
                <c:pt idx="0">
                  <c:v>Levantamiento Nacional de Hogares para su Categorización</c:v>
                </c:pt>
                <c:pt idx="1">
                  <c:v>Creación de un Sistema de Registro de Beneficiarios a tráves de Datos Administrativos</c:v>
                </c:pt>
                <c:pt idx="2">
                  <c:v>Dirección y Coordinación (SIUBEN</c:v>
                </c:pt>
              </c:strCache>
            </c:strRef>
          </c:cat>
          <c:val>
            <c:numRef>
              <c:f>'Presupuesto por Programatica'!$K$4:$K$6</c:f>
              <c:numCache>
                <c:formatCode>0%</c:formatCode>
                <c:ptCount val="3"/>
                <c:pt idx="0">
                  <c:v>0.57862485866055291</c:v>
                </c:pt>
                <c:pt idx="1">
                  <c:v>0.25682346600955036</c:v>
                </c:pt>
                <c:pt idx="2">
                  <c:v>0.16455167532989676</c:v>
                </c:pt>
              </c:numCache>
            </c:numRef>
          </c:val>
          <c:extLst>
            <c:ext xmlns:c16="http://schemas.microsoft.com/office/drawing/2014/chart" uri="{C3380CC4-5D6E-409C-BE32-E72D297353CC}">
              <c16:uniqueId val="{00000000-5E63-4AFB-9E57-90601BAE38F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5</xdr:col>
      <xdr:colOff>1310808</xdr:colOff>
      <xdr:row>0</xdr:row>
      <xdr:rowOff>77880</xdr:rowOff>
    </xdr:from>
    <xdr:to>
      <xdr:col>5</xdr:col>
      <xdr:colOff>3048560</xdr:colOff>
      <xdr:row>5</xdr:row>
      <xdr:rowOff>163605</xdr:rowOff>
    </xdr:to>
    <xdr:pic>
      <xdr:nvPicPr>
        <xdr:cNvPr id="3" name="Picture 2">
          <a:extLst>
            <a:ext uri="{FF2B5EF4-FFF2-40B4-BE49-F238E27FC236}">
              <a16:creationId xmlns:a16="http://schemas.microsoft.com/office/drawing/2014/main" id="{AB54A96A-1B76-4EFF-BF8D-CE8782746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1883" y="77880"/>
          <a:ext cx="1737752" cy="1038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1144116</xdr:colOff>
      <xdr:row>0</xdr:row>
      <xdr:rowOff>62191</xdr:rowOff>
    </xdr:from>
    <xdr:to>
      <xdr:col>7</xdr:col>
      <xdr:colOff>164816</xdr:colOff>
      <xdr:row>5</xdr:row>
      <xdr:rowOff>138391</xdr:rowOff>
    </xdr:to>
    <xdr:pic>
      <xdr:nvPicPr>
        <xdr:cNvPr id="2" name="Picture 1">
          <a:extLst>
            <a:ext uri="{FF2B5EF4-FFF2-40B4-BE49-F238E27FC236}">
              <a16:creationId xmlns:a16="http://schemas.microsoft.com/office/drawing/2014/main" id="{ECD79ABD-2AC1-4F74-BE7C-8E8936443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1866" y="62191"/>
          <a:ext cx="1573400" cy="981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600077</xdr:colOff>
      <xdr:row>0</xdr:row>
      <xdr:rowOff>66675</xdr:rowOff>
    </xdr:from>
    <xdr:to>
      <xdr:col>9</xdr:col>
      <xdr:colOff>666750</xdr:colOff>
      <xdr:row>6</xdr:row>
      <xdr:rowOff>114300</xdr:rowOff>
    </xdr:to>
    <xdr:pic>
      <xdr:nvPicPr>
        <xdr:cNvPr id="2" name="Picture 1">
          <a:extLst>
            <a:ext uri="{FF2B5EF4-FFF2-40B4-BE49-F238E27FC236}">
              <a16:creationId xmlns:a16="http://schemas.microsoft.com/office/drawing/2014/main" id="{3B8B3019-CDD2-4C93-A1ED-D2E6483867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252" y="66675"/>
          <a:ext cx="1876423" cy="1133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1676959</xdr:colOff>
      <xdr:row>0</xdr:row>
      <xdr:rowOff>19050</xdr:rowOff>
    </xdr:from>
    <xdr:to>
      <xdr:col>7</xdr:col>
      <xdr:colOff>619125</xdr:colOff>
      <xdr:row>5</xdr:row>
      <xdr:rowOff>171450</xdr:rowOff>
    </xdr:to>
    <xdr:pic>
      <xdr:nvPicPr>
        <xdr:cNvPr id="2" name="Picture 1">
          <a:extLst>
            <a:ext uri="{FF2B5EF4-FFF2-40B4-BE49-F238E27FC236}">
              <a16:creationId xmlns:a16="http://schemas.microsoft.com/office/drawing/2014/main" id="{8FB45B5B-24EB-4D3F-99EE-8649A82F3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7059" y="19050"/>
          <a:ext cx="1685366" cy="1057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167083</xdr:colOff>
      <xdr:row>0</xdr:row>
      <xdr:rowOff>35041</xdr:rowOff>
    </xdr:from>
    <xdr:to>
      <xdr:col>11</xdr:col>
      <xdr:colOff>171450</xdr:colOff>
      <xdr:row>7</xdr:row>
      <xdr:rowOff>82840</xdr:rowOff>
    </xdr:to>
    <xdr:pic>
      <xdr:nvPicPr>
        <xdr:cNvPr id="2" name="Picture 1">
          <a:extLst>
            <a:ext uri="{FF2B5EF4-FFF2-40B4-BE49-F238E27FC236}">
              <a16:creationId xmlns:a16="http://schemas.microsoft.com/office/drawing/2014/main" id="{016C2C3D-8BDF-4169-A17F-958D397ECB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6858" y="35041"/>
          <a:ext cx="2423717" cy="13146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1405154</xdr:colOff>
      <xdr:row>0</xdr:row>
      <xdr:rowOff>0</xdr:rowOff>
    </xdr:from>
    <xdr:to>
      <xdr:col>6</xdr:col>
      <xdr:colOff>57150</xdr:colOff>
      <xdr:row>6</xdr:row>
      <xdr:rowOff>122496</xdr:rowOff>
    </xdr:to>
    <xdr:pic>
      <xdr:nvPicPr>
        <xdr:cNvPr id="2" name="Picture 1">
          <a:extLst>
            <a:ext uri="{FF2B5EF4-FFF2-40B4-BE49-F238E27FC236}">
              <a16:creationId xmlns:a16="http://schemas.microsoft.com/office/drawing/2014/main" id="{BF7EB4D7-D7FC-4238-8EB3-0C3C18FC8B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44479" y="0"/>
          <a:ext cx="2214346" cy="120834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196711</xdr:colOff>
      <xdr:row>0</xdr:row>
      <xdr:rowOff>64485</xdr:rowOff>
    </xdr:from>
    <xdr:to>
      <xdr:col>9</xdr:col>
      <xdr:colOff>0</xdr:colOff>
      <xdr:row>6</xdr:row>
      <xdr:rowOff>148160</xdr:rowOff>
    </xdr:to>
    <xdr:pic>
      <xdr:nvPicPr>
        <xdr:cNvPr id="2" name="Picture 1">
          <a:extLst>
            <a:ext uri="{FF2B5EF4-FFF2-40B4-BE49-F238E27FC236}">
              <a16:creationId xmlns:a16="http://schemas.microsoft.com/office/drawing/2014/main" id="{0A8E6F2B-4909-4485-AE2B-E6900D318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55186" y="64485"/>
          <a:ext cx="2203589" cy="11695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5</xdr:col>
      <xdr:colOff>2458010</xdr:colOff>
      <xdr:row>0</xdr:row>
      <xdr:rowOff>81803</xdr:rowOff>
    </xdr:from>
    <xdr:ext cx="1637740" cy="993192"/>
    <xdr:pic>
      <xdr:nvPicPr>
        <xdr:cNvPr id="3" name="Picture 2">
          <a:extLst>
            <a:ext uri="{FF2B5EF4-FFF2-40B4-BE49-F238E27FC236}">
              <a16:creationId xmlns:a16="http://schemas.microsoft.com/office/drawing/2014/main" id="{0504C702-F270-41B7-BAF7-EE58D8AAF1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7335" y="81803"/>
          <a:ext cx="1637740" cy="993192"/>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8</xdr:col>
      <xdr:colOff>573302</xdr:colOff>
      <xdr:row>0</xdr:row>
      <xdr:rowOff>41276</xdr:rowOff>
    </xdr:from>
    <xdr:to>
      <xdr:col>10</xdr:col>
      <xdr:colOff>485776</xdr:colOff>
      <xdr:row>6</xdr:row>
      <xdr:rowOff>115154</xdr:rowOff>
    </xdr:to>
    <xdr:pic>
      <xdr:nvPicPr>
        <xdr:cNvPr id="2" name="Picture 1">
          <a:extLst>
            <a:ext uri="{FF2B5EF4-FFF2-40B4-BE49-F238E27FC236}">
              <a16:creationId xmlns:a16="http://schemas.microsoft.com/office/drawing/2014/main" id="{56FBB8F0-D161-4C53-991B-0044499472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03527" y="41276"/>
          <a:ext cx="2065124" cy="115972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257175</xdr:colOff>
      <xdr:row>0</xdr:row>
      <xdr:rowOff>0</xdr:rowOff>
    </xdr:from>
    <xdr:to>
      <xdr:col>4</xdr:col>
      <xdr:colOff>1066800</xdr:colOff>
      <xdr:row>5</xdr:row>
      <xdr:rowOff>152400</xdr:rowOff>
    </xdr:to>
    <xdr:pic>
      <xdr:nvPicPr>
        <xdr:cNvPr id="2" name="Picture 1">
          <a:extLst>
            <a:ext uri="{FF2B5EF4-FFF2-40B4-BE49-F238E27FC236}">
              <a16:creationId xmlns:a16="http://schemas.microsoft.com/office/drawing/2014/main" id="{E221A0E0-C981-4E4A-83CC-C889D84D2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3825" y="0"/>
          <a:ext cx="1914525" cy="10572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1400734</xdr:colOff>
      <xdr:row>0</xdr:row>
      <xdr:rowOff>114300</xdr:rowOff>
    </xdr:from>
    <xdr:to>
      <xdr:col>8</xdr:col>
      <xdr:colOff>466725</xdr:colOff>
      <xdr:row>6</xdr:row>
      <xdr:rowOff>59378</xdr:rowOff>
    </xdr:to>
    <xdr:pic>
      <xdr:nvPicPr>
        <xdr:cNvPr id="2" name="Picture 1">
          <a:extLst>
            <a:ext uri="{FF2B5EF4-FFF2-40B4-BE49-F238E27FC236}">
              <a16:creationId xmlns:a16="http://schemas.microsoft.com/office/drawing/2014/main" id="{94356E92-4AFD-4747-8FD5-ECF13183DD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5984" y="114300"/>
          <a:ext cx="2113991" cy="103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1753118</xdr:colOff>
      <xdr:row>0</xdr:row>
      <xdr:rowOff>108698</xdr:rowOff>
    </xdr:from>
    <xdr:to>
      <xdr:col>5</xdr:col>
      <xdr:colOff>3629025</xdr:colOff>
      <xdr:row>6</xdr:row>
      <xdr:rowOff>13688</xdr:rowOff>
    </xdr:to>
    <xdr:pic>
      <xdr:nvPicPr>
        <xdr:cNvPr id="2" name="Picture 1">
          <a:extLst>
            <a:ext uri="{FF2B5EF4-FFF2-40B4-BE49-F238E27FC236}">
              <a16:creationId xmlns:a16="http://schemas.microsoft.com/office/drawing/2014/main" id="{19D03C5C-7B0E-4BC6-8494-54D076A8B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6493" y="108698"/>
          <a:ext cx="1875907" cy="104799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133910</xdr:colOff>
      <xdr:row>0</xdr:row>
      <xdr:rowOff>14567</xdr:rowOff>
    </xdr:from>
    <xdr:to>
      <xdr:col>10</xdr:col>
      <xdr:colOff>1175784</xdr:colOff>
      <xdr:row>7</xdr:row>
      <xdr:rowOff>129041</xdr:rowOff>
    </xdr:to>
    <xdr:pic>
      <xdr:nvPicPr>
        <xdr:cNvPr id="3" name="Picture 2">
          <a:extLst>
            <a:ext uri="{FF2B5EF4-FFF2-40B4-BE49-F238E27FC236}">
              <a16:creationId xmlns:a16="http://schemas.microsoft.com/office/drawing/2014/main" id="{209F7169-A793-4B97-859D-FD695C2D59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06885" y="14567"/>
          <a:ext cx="2270599" cy="138129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962024</xdr:colOff>
      <xdr:row>0</xdr:row>
      <xdr:rowOff>28575</xdr:rowOff>
    </xdr:from>
    <xdr:to>
      <xdr:col>2</xdr:col>
      <xdr:colOff>2911848</xdr:colOff>
      <xdr:row>6</xdr:row>
      <xdr:rowOff>123547</xdr:rowOff>
    </xdr:to>
    <xdr:pic>
      <xdr:nvPicPr>
        <xdr:cNvPr id="2" name="Picture 1">
          <a:extLst>
            <a:ext uri="{FF2B5EF4-FFF2-40B4-BE49-F238E27FC236}">
              <a16:creationId xmlns:a16="http://schemas.microsoft.com/office/drawing/2014/main" id="{6CFAFCC9-91A7-4E8F-B53F-3DB5B5DDC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5149" y="28575"/>
          <a:ext cx="1949824" cy="118082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2292771</xdr:colOff>
      <xdr:row>0</xdr:row>
      <xdr:rowOff>38100</xdr:rowOff>
    </xdr:from>
    <xdr:to>
      <xdr:col>7</xdr:col>
      <xdr:colOff>200025</xdr:colOff>
      <xdr:row>6</xdr:row>
      <xdr:rowOff>12794</xdr:rowOff>
    </xdr:to>
    <xdr:pic>
      <xdr:nvPicPr>
        <xdr:cNvPr id="2" name="Picture 1">
          <a:extLst>
            <a:ext uri="{FF2B5EF4-FFF2-40B4-BE49-F238E27FC236}">
              <a16:creationId xmlns:a16="http://schemas.microsoft.com/office/drawing/2014/main" id="{F6837D09-993F-4B1A-9C30-647808BE7E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071" y="38100"/>
          <a:ext cx="1974429" cy="106054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403973</xdr:colOff>
      <xdr:row>0</xdr:row>
      <xdr:rowOff>87404</xdr:rowOff>
    </xdr:from>
    <xdr:to>
      <xdr:col>9</xdr:col>
      <xdr:colOff>295276</xdr:colOff>
      <xdr:row>6</xdr:row>
      <xdr:rowOff>171869</xdr:rowOff>
    </xdr:to>
    <xdr:pic>
      <xdr:nvPicPr>
        <xdr:cNvPr id="2" name="Picture 1">
          <a:extLst>
            <a:ext uri="{FF2B5EF4-FFF2-40B4-BE49-F238E27FC236}">
              <a16:creationId xmlns:a16="http://schemas.microsoft.com/office/drawing/2014/main" id="{470C79BE-28D0-4DCD-9612-BC7B28912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8898" y="87404"/>
          <a:ext cx="2320178" cy="1170315"/>
        </a:xfrm>
        <a:prstGeom prst="rect">
          <a:avLst/>
        </a:prstGeom>
      </xdr:spPr>
    </xdr:pic>
    <xdr:clientData/>
  </xdr:twoCellAnchor>
  <xdr:twoCellAnchor editAs="oneCell">
    <xdr:from>
      <xdr:col>7</xdr:col>
      <xdr:colOff>175372</xdr:colOff>
      <xdr:row>0</xdr:row>
      <xdr:rowOff>96929</xdr:rowOff>
    </xdr:from>
    <xdr:to>
      <xdr:col>9</xdr:col>
      <xdr:colOff>104215</xdr:colOff>
      <xdr:row>7</xdr:row>
      <xdr:rowOff>419</xdr:rowOff>
    </xdr:to>
    <xdr:pic>
      <xdr:nvPicPr>
        <xdr:cNvPr id="3" name="Picture 2">
          <a:extLst>
            <a:ext uri="{FF2B5EF4-FFF2-40B4-BE49-F238E27FC236}">
              <a16:creationId xmlns:a16="http://schemas.microsoft.com/office/drawing/2014/main" id="{FBDBA6E1-1345-4E52-AC6E-ED31669A0E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0297" y="96929"/>
          <a:ext cx="2357718" cy="117031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2</xdr:col>
      <xdr:colOff>542924</xdr:colOff>
      <xdr:row>18</xdr:row>
      <xdr:rowOff>28574</xdr:rowOff>
    </xdr:from>
    <xdr:to>
      <xdr:col>8</xdr:col>
      <xdr:colOff>1228725</xdr:colOff>
      <xdr:row>36</xdr:row>
      <xdr:rowOff>171449</xdr:rowOff>
    </xdr:to>
    <xdr:graphicFrame macro="">
      <xdr:nvGraphicFramePr>
        <xdr:cNvPr id="3" name="Chart 2">
          <a:extLst>
            <a:ext uri="{FF2B5EF4-FFF2-40B4-BE49-F238E27FC236}">
              <a16:creationId xmlns:a16="http://schemas.microsoft.com/office/drawing/2014/main" id="{6ABE7AB6-88BA-E660-5D32-788CFF4BD7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152400</xdr:colOff>
      <xdr:row>13</xdr:row>
      <xdr:rowOff>76198</xdr:rowOff>
    </xdr:from>
    <xdr:to>
      <xdr:col>6</xdr:col>
      <xdr:colOff>542925</xdr:colOff>
      <xdr:row>34</xdr:row>
      <xdr:rowOff>180974</xdr:rowOff>
    </xdr:to>
    <xdr:graphicFrame macro="">
      <xdr:nvGraphicFramePr>
        <xdr:cNvPr id="3" name="Chart 2">
          <a:extLst>
            <a:ext uri="{FF2B5EF4-FFF2-40B4-BE49-F238E27FC236}">
              <a16:creationId xmlns:a16="http://schemas.microsoft.com/office/drawing/2014/main" id="{02D24704-7866-D30E-7C24-8EF1E23B2E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530097</xdr:colOff>
      <xdr:row>0</xdr:row>
      <xdr:rowOff>31937</xdr:rowOff>
    </xdr:from>
    <xdr:to>
      <xdr:col>9</xdr:col>
      <xdr:colOff>895350</xdr:colOff>
      <xdr:row>6</xdr:row>
      <xdr:rowOff>98630</xdr:rowOff>
    </xdr:to>
    <xdr:pic>
      <xdr:nvPicPr>
        <xdr:cNvPr id="2" name="Picture 1">
          <a:extLst>
            <a:ext uri="{FF2B5EF4-FFF2-40B4-BE49-F238E27FC236}">
              <a16:creationId xmlns:a16="http://schemas.microsoft.com/office/drawing/2014/main" id="{F138DB94-9E73-4385-9C87-8F9D288DF4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7047" y="31937"/>
          <a:ext cx="2070228" cy="12096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1362634</xdr:colOff>
      <xdr:row>0</xdr:row>
      <xdr:rowOff>38100</xdr:rowOff>
    </xdr:from>
    <xdr:to>
      <xdr:col>9</xdr:col>
      <xdr:colOff>9525</xdr:colOff>
      <xdr:row>5</xdr:row>
      <xdr:rowOff>146535</xdr:rowOff>
    </xdr:to>
    <xdr:pic>
      <xdr:nvPicPr>
        <xdr:cNvPr id="2" name="Picture 1">
          <a:extLst>
            <a:ext uri="{FF2B5EF4-FFF2-40B4-BE49-F238E27FC236}">
              <a16:creationId xmlns:a16="http://schemas.microsoft.com/office/drawing/2014/main" id="{A8408874-3BC7-4BF1-8939-C80E18ADB5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3109" y="38100"/>
          <a:ext cx="1752041" cy="1013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615765</xdr:colOff>
      <xdr:row>0</xdr:row>
      <xdr:rowOff>28575</xdr:rowOff>
    </xdr:from>
    <xdr:to>
      <xdr:col>8</xdr:col>
      <xdr:colOff>485776</xdr:colOff>
      <xdr:row>6</xdr:row>
      <xdr:rowOff>173806</xdr:rowOff>
    </xdr:to>
    <xdr:pic>
      <xdr:nvPicPr>
        <xdr:cNvPr id="2" name="Picture 1">
          <a:extLst>
            <a:ext uri="{FF2B5EF4-FFF2-40B4-BE49-F238E27FC236}">
              <a16:creationId xmlns:a16="http://schemas.microsoft.com/office/drawing/2014/main" id="{9D0007BB-C422-4019-BC16-AB748716ED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79015" y="28575"/>
          <a:ext cx="2260786" cy="12310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114860</xdr:colOff>
      <xdr:row>0</xdr:row>
      <xdr:rowOff>9525</xdr:rowOff>
    </xdr:from>
    <xdr:to>
      <xdr:col>11</xdr:col>
      <xdr:colOff>314326</xdr:colOff>
      <xdr:row>6</xdr:row>
      <xdr:rowOff>28575</xdr:rowOff>
    </xdr:to>
    <xdr:pic>
      <xdr:nvPicPr>
        <xdr:cNvPr id="2" name="Picture 1">
          <a:extLst>
            <a:ext uri="{FF2B5EF4-FFF2-40B4-BE49-F238E27FC236}">
              <a16:creationId xmlns:a16="http://schemas.microsoft.com/office/drawing/2014/main" id="{C8BF928E-228E-4B29-A722-C2769CC140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7435" y="9525"/>
          <a:ext cx="2123516" cy="1162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179127</xdr:colOff>
      <xdr:row>0</xdr:row>
      <xdr:rowOff>26919</xdr:rowOff>
    </xdr:from>
    <xdr:to>
      <xdr:col>11</xdr:col>
      <xdr:colOff>695325</xdr:colOff>
      <xdr:row>6</xdr:row>
      <xdr:rowOff>183061</xdr:rowOff>
    </xdr:to>
    <xdr:pic>
      <xdr:nvPicPr>
        <xdr:cNvPr id="2" name="Picture 1">
          <a:extLst>
            <a:ext uri="{FF2B5EF4-FFF2-40B4-BE49-F238E27FC236}">
              <a16:creationId xmlns:a16="http://schemas.microsoft.com/office/drawing/2014/main" id="{76CD56B2-61A4-4067-AA4D-080B8D1F8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3302" y="26919"/>
          <a:ext cx="2259273" cy="12991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1582644</xdr:colOff>
      <xdr:row>0</xdr:row>
      <xdr:rowOff>0</xdr:rowOff>
    </xdr:from>
    <xdr:to>
      <xdr:col>8</xdr:col>
      <xdr:colOff>133351</xdr:colOff>
      <xdr:row>5</xdr:row>
      <xdr:rowOff>160181</xdr:rowOff>
    </xdr:to>
    <xdr:pic>
      <xdr:nvPicPr>
        <xdr:cNvPr id="2" name="Picture 1">
          <a:extLst>
            <a:ext uri="{FF2B5EF4-FFF2-40B4-BE49-F238E27FC236}">
              <a16:creationId xmlns:a16="http://schemas.microsoft.com/office/drawing/2014/main" id="{7D000E60-2E5D-47B7-8650-A758D68771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0869" y="0"/>
          <a:ext cx="1874932" cy="10650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412777</xdr:colOff>
      <xdr:row>0</xdr:row>
      <xdr:rowOff>0</xdr:rowOff>
    </xdr:from>
    <xdr:to>
      <xdr:col>11</xdr:col>
      <xdr:colOff>38100</xdr:colOff>
      <xdr:row>6</xdr:row>
      <xdr:rowOff>157152</xdr:rowOff>
    </xdr:to>
    <xdr:pic>
      <xdr:nvPicPr>
        <xdr:cNvPr id="2" name="Picture 1">
          <a:extLst>
            <a:ext uri="{FF2B5EF4-FFF2-40B4-BE49-F238E27FC236}">
              <a16:creationId xmlns:a16="http://schemas.microsoft.com/office/drawing/2014/main" id="{173CDF20-1A05-473D-B6D3-6B8F36723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28652" y="0"/>
          <a:ext cx="2254223" cy="1243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duran\Desktop\Coordinaci&#243;n%20de%20Seguimiento\POA\2022\POA%202022%20-%20Compilado%20v1.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duran\Desktop\Coordinaci&#243;n%20de%20Seguimiento\POA\2023\3-%20Calidad%20del%20Dato\Calidad%20del%20Dato%20-%20POA%202023%20v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hduran\Desktop\Coordinaci&#243;n%20de%20Seguimiento\POA\2022\Administrativo%20y%20Financiero\Adm.%20y%20Fin.%20-%20POA%202022%20v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EJECUCI&#211;N%20RRHH%202023\POA%202023\POA%202023\revisado%20RRHH%20-%20POA%202023%20Trabajado%20el%2022%20de%20julio%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hduran\Downloads\RRHH%20-%20POA%202023%20Trabajado%20el%2022%20de%20julio%202022%20(actualizado%2028%20dic%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20Tecnolog&#237;a/Tecnologia%20-%20POA%202023%20v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Análisis POA Eje 1"/>
      <sheetName val="1- Análisis POA Eje 3"/>
      <sheetName val="1- Análisis Presupuesto"/>
      <sheetName val="2- Operaciones POA"/>
      <sheetName val="2- Operaciones Presupuesto"/>
      <sheetName val="3- Calidad del Dato POA"/>
      <sheetName val="3- Calidad del Dato Presupuesto"/>
      <sheetName val="4- Cartografía POA"/>
      <sheetName val="4- Cartografía Presupuesto"/>
      <sheetName val="5- Adm. y Fin. POA"/>
      <sheetName val="5- Adm. y Fin. Presupuesto"/>
      <sheetName val="6- Comunicaciones POA"/>
      <sheetName val="6- Comunicaciones Presupuesto"/>
      <sheetName val="7- SGI POA"/>
      <sheetName val="7- SGI Presupuesto"/>
      <sheetName val="8- RRHH POA"/>
      <sheetName val="8- RRHH Presupuesto"/>
      <sheetName val="9- Tecnología POA"/>
      <sheetName val="9- Tecnología Presupuesto"/>
      <sheetName val="10- Planificación POA"/>
      <sheetName val="10- Planificación Presupuesto"/>
      <sheetName val="11- Dirección General"/>
      <sheetName val="Presupuesto General SIUBEN"/>
      <sheetName val="Presupuesto sin PACC"/>
      <sheetName val="Comparación"/>
      <sheetName val="Carga Fija 2022"/>
      <sheetName val="Formulación x Actividad POA"/>
      <sheetName val="Formulación Resumen POA"/>
    </sheetNames>
    <sheetDataSet>
      <sheetData sheetId="0" refreshError="1"/>
      <sheetData sheetId="1" refreshError="1">
        <row r="23">
          <cell r="S23">
            <v>855000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2023"/>
      <sheetName val="Objetivo 1.2"/>
      <sheetName val="Objetivo 1.3"/>
      <sheetName val="Objetivo 2.1"/>
      <sheetName val="Objetivo 2.2"/>
      <sheetName val="Presupuesto"/>
      <sheetName val="Presupuesto G."/>
      <sheetName val="Ejes y Objetivos"/>
    </sheetNames>
    <sheetDataSet>
      <sheetData sheetId="0"/>
      <sheetData sheetId="1"/>
      <sheetData sheetId="2"/>
      <sheetData sheetId="3"/>
      <sheetData sheetId="4"/>
      <sheetData sheetId="5"/>
      <sheetData sheetId="6">
        <row r="17">
          <cell r="U17">
            <v>405900</v>
          </cell>
        </row>
        <row r="18">
          <cell r="U18">
            <v>108000</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Adm. y Fin."/>
      <sheetName val="Presupuesto Adm. y Fin."/>
    </sheetNames>
    <sheetDataSet>
      <sheetData sheetId="0" refreshError="1"/>
      <sheetData sheetId="1" refreshError="1">
        <row r="17">
          <cell r="T17">
            <v>42000</v>
          </cell>
        </row>
        <row r="18">
          <cell r="T18">
            <v>250000</v>
          </cell>
        </row>
        <row r="19">
          <cell r="T19">
            <v>80000</v>
          </cell>
        </row>
        <row r="20">
          <cell r="T20">
            <v>300000</v>
          </cell>
        </row>
        <row r="21">
          <cell r="T21">
            <v>50000</v>
          </cell>
        </row>
        <row r="22">
          <cell r="T22">
            <v>15000</v>
          </cell>
        </row>
        <row r="23">
          <cell r="T23">
            <v>250000</v>
          </cell>
        </row>
        <row r="24">
          <cell r="T24">
            <v>250000</v>
          </cell>
        </row>
        <row r="25">
          <cell r="T25">
            <v>0</v>
          </cell>
        </row>
        <row r="26">
          <cell r="T26">
            <v>0</v>
          </cell>
        </row>
        <row r="27">
          <cell r="T27">
            <v>50000</v>
          </cell>
        </row>
        <row r="28">
          <cell r="T28">
            <v>2000000</v>
          </cell>
        </row>
        <row r="29">
          <cell r="T29">
            <v>280000</v>
          </cell>
        </row>
        <row r="30">
          <cell r="T30">
            <v>104000</v>
          </cell>
        </row>
        <row r="31">
          <cell r="T31">
            <v>0</v>
          </cell>
        </row>
        <row r="32">
          <cell r="T32">
            <v>345600</v>
          </cell>
        </row>
        <row r="33">
          <cell r="T33">
            <v>96000</v>
          </cell>
        </row>
        <row r="34">
          <cell r="T34">
            <v>2000000</v>
          </cell>
        </row>
        <row r="35">
          <cell r="T35">
            <v>650000</v>
          </cell>
        </row>
        <row r="36">
          <cell r="T36">
            <v>90000</v>
          </cell>
        </row>
        <row r="37">
          <cell r="T37">
            <v>0</v>
          </cell>
        </row>
        <row r="38">
          <cell r="T38">
            <v>300000</v>
          </cell>
        </row>
        <row r="39">
          <cell r="T39">
            <v>112500</v>
          </cell>
        </row>
        <row r="40">
          <cell r="T40">
            <v>500000</v>
          </cell>
        </row>
        <row r="41">
          <cell r="T41">
            <v>800000</v>
          </cell>
        </row>
        <row r="42">
          <cell r="T42">
            <v>500000</v>
          </cell>
        </row>
        <row r="43">
          <cell r="T43">
            <v>35000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rsos Humanos"/>
      <sheetName val="Presup.odf. austeridad RRHH"/>
      <sheetName val="Presupuesto Original RRHH"/>
    </sheetNames>
    <sheetDataSet>
      <sheetData sheetId="0" refreshError="1"/>
      <sheetData sheetId="1" refreshError="1">
        <row r="14">
          <cell r="T14">
            <v>2125000</v>
          </cell>
        </row>
        <row r="15">
          <cell r="T15">
            <v>175000</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rsos Humanos"/>
      <sheetName val="Presupuesto"/>
    </sheetNames>
    <sheetDataSet>
      <sheetData sheetId="0"/>
      <sheetData sheetId="1">
        <row r="13">
          <cell r="T13"/>
        </row>
        <row r="14">
          <cell r="T14">
            <v>2125000</v>
          </cell>
        </row>
        <row r="15">
          <cell r="T15">
            <v>175000</v>
          </cell>
        </row>
        <row r="20">
          <cell r="T20">
            <v>0</v>
          </cell>
        </row>
        <row r="21">
          <cell r="T21">
            <v>0</v>
          </cell>
        </row>
        <row r="22">
          <cell r="T22">
            <v>0</v>
          </cell>
        </row>
        <row r="23">
          <cell r="T23">
            <v>16500</v>
          </cell>
        </row>
        <row r="24">
          <cell r="T24"/>
        </row>
        <row r="25">
          <cell r="T25"/>
        </row>
        <row r="26">
          <cell r="T26"/>
        </row>
        <row r="27">
          <cell r="T27">
            <v>11600000</v>
          </cell>
        </row>
        <row r="28">
          <cell r="T28">
            <v>300000</v>
          </cell>
        </row>
        <row r="29">
          <cell r="T29">
            <v>96000</v>
          </cell>
        </row>
        <row r="30">
          <cell r="T30">
            <v>11250</v>
          </cell>
        </row>
        <row r="31">
          <cell r="T31">
            <v>6000</v>
          </cell>
        </row>
        <row r="32">
          <cell r="T32">
            <v>100000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2023"/>
      <sheetName val="Objetivo 1.2"/>
      <sheetName val="Objetivo 1.3"/>
      <sheetName val="Objetivo 2.1"/>
      <sheetName val="Objetivo 2.2"/>
      <sheetName val="Presupuesto"/>
      <sheetName val="Presupuesto G."/>
      <sheetName val="Matriz de Adquisiciones"/>
      <sheetName val="Ejes y Objetivos"/>
    </sheetNames>
    <sheetDataSet>
      <sheetData sheetId="0"/>
      <sheetData sheetId="1"/>
      <sheetData sheetId="2"/>
      <sheetData sheetId="3"/>
      <sheetData sheetId="4"/>
      <sheetData sheetId="5"/>
      <sheetData sheetId="6">
        <row r="17">
          <cell r="U17">
            <v>1656000</v>
          </cell>
        </row>
        <row r="19">
          <cell r="U19">
            <v>1656000</v>
          </cell>
        </row>
        <row r="20">
          <cell r="U20">
            <v>1000000</v>
          </cell>
        </row>
        <row r="21">
          <cell r="U21">
            <v>1000000</v>
          </cell>
        </row>
        <row r="22">
          <cell r="U22">
            <v>100000</v>
          </cell>
        </row>
        <row r="23">
          <cell r="U23">
            <v>160000</v>
          </cell>
        </row>
        <row r="24">
          <cell r="U24">
            <v>244200</v>
          </cell>
        </row>
        <row r="25">
          <cell r="U25">
            <v>3000</v>
          </cell>
        </row>
        <row r="26">
          <cell r="U26">
            <v>5000</v>
          </cell>
        </row>
        <row r="27">
          <cell r="U27">
            <v>3000</v>
          </cell>
        </row>
        <row r="28">
          <cell r="U28">
            <v>50000</v>
          </cell>
        </row>
        <row r="29">
          <cell r="U29">
            <v>2000</v>
          </cell>
        </row>
        <row r="30">
          <cell r="U30">
            <v>25000</v>
          </cell>
        </row>
        <row r="31">
          <cell r="U31">
            <v>11100</v>
          </cell>
        </row>
        <row r="33">
          <cell r="U33">
            <v>1500000</v>
          </cell>
        </row>
        <row r="34">
          <cell r="U34">
            <v>250000</v>
          </cell>
        </row>
        <row r="35">
          <cell r="U35">
            <v>250000</v>
          </cell>
        </row>
        <row r="36">
          <cell r="U36">
            <v>250000</v>
          </cell>
        </row>
        <row r="37">
          <cell r="U37">
            <v>250000</v>
          </cell>
        </row>
        <row r="38">
          <cell r="U38">
            <v>400000</v>
          </cell>
        </row>
        <row r="39">
          <cell r="U39">
            <v>2000000</v>
          </cell>
        </row>
        <row r="40">
          <cell r="U40">
            <v>80000</v>
          </cell>
        </row>
        <row r="41">
          <cell r="U41">
            <v>500000</v>
          </cell>
        </row>
        <row r="42">
          <cell r="U42">
            <v>850000</v>
          </cell>
        </row>
        <row r="43">
          <cell r="U43">
            <v>552000</v>
          </cell>
        </row>
        <row r="44">
          <cell r="U44">
            <v>5520000</v>
          </cell>
        </row>
        <row r="45">
          <cell r="U45">
            <v>20350000</v>
          </cell>
        </row>
        <row r="46">
          <cell r="U46"/>
        </row>
        <row r="47">
          <cell r="U47">
            <v>4307875</v>
          </cell>
        </row>
        <row r="49">
          <cell r="U49">
            <v>4400000</v>
          </cell>
        </row>
        <row r="50">
          <cell r="U50">
            <v>1375000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1533-BEA4-40CD-9ADC-645FBD6F3A8C}">
  <dimension ref="A1:Z41"/>
  <sheetViews>
    <sheetView showGridLines="0" zoomScaleNormal="100" workbookViewId="0">
      <selection sqref="A1:N41"/>
    </sheetView>
  </sheetViews>
  <sheetFormatPr defaultColWidth="8.85546875" defaultRowHeight="15"/>
  <sheetData>
    <row r="1" spans="1:26">
      <c r="A1" s="614" t="s">
        <v>1365</v>
      </c>
      <c r="B1" s="615"/>
      <c r="C1" s="615"/>
      <c r="D1" s="615"/>
      <c r="E1" s="615"/>
      <c r="F1" s="615"/>
      <c r="G1" s="615"/>
      <c r="H1" s="615"/>
      <c r="I1" s="615"/>
      <c r="J1" s="615"/>
      <c r="K1" s="615"/>
      <c r="L1" s="615"/>
      <c r="M1" s="615"/>
      <c r="N1" s="616"/>
      <c r="O1" s="623" t="s">
        <v>943</v>
      </c>
      <c r="P1" s="623"/>
      <c r="Q1" s="623"/>
      <c r="R1" s="623"/>
      <c r="S1" s="623"/>
      <c r="T1" s="623"/>
      <c r="U1" s="623"/>
      <c r="V1" s="623"/>
      <c r="W1" s="623"/>
      <c r="X1" s="623"/>
      <c r="Y1" s="623"/>
      <c r="Z1" s="624"/>
    </row>
    <row r="2" spans="1:26">
      <c r="A2" s="617"/>
      <c r="B2" s="618"/>
      <c r="C2" s="618"/>
      <c r="D2" s="618"/>
      <c r="E2" s="618"/>
      <c r="F2" s="618"/>
      <c r="G2" s="618"/>
      <c r="H2" s="618"/>
      <c r="I2" s="618"/>
      <c r="J2" s="618"/>
      <c r="K2" s="618"/>
      <c r="L2" s="618"/>
      <c r="M2" s="618"/>
      <c r="N2" s="619"/>
      <c r="O2" s="625"/>
      <c r="P2" s="625"/>
      <c r="Q2" s="625"/>
      <c r="R2" s="625"/>
      <c r="S2" s="625"/>
      <c r="T2" s="625"/>
      <c r="U2" s="625"/>
      <c r="V2" s="625"/>
      <c r="W2" s="625"/>
      <c r="X2" s="625"/>
      <c r="Y2" s="625"/>
      <c r="Z2" s="626"/>
    </row>
    <row r="3" spans="1:26">
      <c r="A3" s="617"/>
      <c r="B3" s="618"/>
      <c r="C3" s="618"/>
      <c r="D3" s="618"/>
      <c r="E3" s="618"/>
      <c r="F3" s="618"/>
      <c r="G3" s="618"/>
      <c r="H3" s="618"/>
      <c r="I3" s="618"/>
      <c r="J3" s="618"/>
      <c r="K3" s="618"/>
      <c r="L3" s="618"/>
      <c r="M3" s="618"/>
      <c r="N3" s="619"/>
      <c r="O3" s="625"/>
      <c r="P3" s="625"/>
      <c r="Q3" s="625"/>
      <c r="R3" s="625"/>
      <c r="S3" s="625"/>
      <c r="T3" s="625"/>
      <c r="U3" s="625"/>
      <c r="V3" s="625"/>
      <c r="W3" s="625"/>
      <c r="X3" s="625"/>
      <c r="Y3" s="625"/>
      <c r="Z3" s="626"/>
    </row>
    <row r="4" spans="1:26">
      <c r="A4" s="617"/>
      <c r="B4" s="618"/>
      <c r="C4" s="618"/>
      <c r="D4" s="618"/>
      <c r="E4" s="618"/>
      <c r="F4" s="618"/>
      <c r="G4" s="618"/>
      <c r="H4" s="618"/>
      <c r="I4" s="618"/>
      <c r="J4" s="618"/>
      <c r="K4" s="618"/>
      <c r="L4" s="618"/>
      <c r="M4" s="618"/>
      <c r="N4" s="619"/>
      <c r="O4" s="625"/>
      <c r="P4" s="625"/>
      <c r="Q4" s="625"/>
      <c r="R4" s="625"/>
      <c r="S4" s="625"/>
      <c r="T4" s="625"/>
      <c r="U4" s="625"/>
      <c r="V4" s="625"/>
      <c r="W4" s="625"/>
      <c r="X4" s="625"/>
      <c r="Y4" s="625"/>
      <c r="Z4" s="626"/>
    </row>
    <row r="5" spans="1:26">
      <c r="A5" s="617"/>
      <c r="B5" s="618"/>
      <c r="C5" s="618"/>
      <c r="D5" s="618"/>
      <c r="E5" s="618"/>
      <c r="F5" s="618"/>
      <c r="G5" s="618"/>
      <c r="H5" s="618"/>
      <c r="I5" s="618"/>
      <c r="J5" s="618"/>
      <c r="K5" s="618"/>
      <c r="L5" s="618"/>
      <c r="M5" s="618"/>
      <c r="N5" s="619"/>
      <c r="O5" s="625"/>
      <c r="P5" s="625"/>
      <c r="Q5" s="625"/>
      <c r="R5" s="625"/>
      <c r="S5" s="625"/>
      <c r="T5" s="625"/>
      <c r="U5" s="625"/>
      <c r="V5" s="625"/>
      <c r="W5" s="625"/>
      <c r="X5" s="625"/>
      <c r="Y5" s="625"/>
      <c r="Z5" s="626"/>
    </row>
    <row r="6" spans="1:26">
      <c r="A6" s="617"/>
      <c r="B6" s="618"/>
      <c r="C6" s="618"/>
      <c r="D6" s="618"/>
      <c r="E6" s="618"/>
      <c r="F6" s="618"/>
      <c r="G6" s="618"/>
      <c r="H6" s="618"/>
      <c r="I6" s="618"/>
      <c r="J6" s="618"/>
      <c r="K6" s="618"/>
      <c r="L6" s="618"/>
      <c r="M6" s="618"/>
      <c r="N6" s="619"/>
      <c r="O6" s="625"/>
      <c r="P6" s="625"/>
      <c r="Q6" s="625"/>
      <c r="R6" s="625"/>
      <c r="S6" s="625"/>
      <c r="T6" s="625"/>
      <c r="U6" s="625"/>
      <c r="V6" s="625"/>
      <c r="W6" s="625"/>
      <c r="X6" s="625"/>
      <c r="Y6" s="625"/>
      <c r="Z6" s="626"/>
    </row>
    <row r="7" spans="1:26">
      <c r="A7" s="617"/>
      <c r="B7" s="618"/>
      <c r="C7" s="618"/>
      <c r="D7" s="618"/>
      <c r="E7" s="618"/>
      <c r="F7" s="618"/>
      <c r="G7" s="618"/>
      <c r="H7" s="618"/>
      <c r="I7" s="618"/>
      <c r="J7" s="618"/>
      <c r="K7" s="618"/>
      <c r="L7" s="618"/>
      <c r="M7" s="618"/>
      <c r="N7" s="619"/>
      <c r="O7" s="625"/>
      <c r="P7" s="625"/>
      <c r="Q7" s="625"/>
      <c r="R7" s="625"/>
      <c r="S7" s="625"/>
      <c r="T7" s="625"/>
      <c r="U7" s="625"/>
      <c r="V7" s="625"/>
      <c r="W7" s="625"/>
      <c r="X7" s="625"/>
      <c r="Y7" s="625"/>
      <c r="Z7" s="626"/>
    </row>
    <row r="8" spans="1:26">
      <c r="A8" s="617"/>
      <c r="B8" s="618"/>
      <c r="C8" s="618"/>
      <c r="D8" s="618"/>
      <c r="E8" s="618"/>
      <c r="F8" s="618"/>
      <c r="G8" s="618"/>
      <c r="H8" s="618"/>
      <c r="I8" s="618"/>
      <c r="J8" s="618"/>
      <c r="K8" s="618"/>
      <c r="L8" s="618"/>
      <c r="M8" s="618"/>
      <c r="N8" s="619"/>
      <c r="O8" s="625"/>
      <c r="P8" s="625"/>
      <c r="Q8" s="625"/>
      <c r="R8" s="625"/>
      <c r="S8" s="625"/>
      <c r="T8" s="625"/>
      <c r="U8" s="625"/>
      <c r="V8" s="625"/>
      <c r="W8" s="625"/>
      <c r="X8" s="625"/>
      <c r="Y8" s="625"/>
      <c r="Z8" s="626"/>
    </row>
    <row r="9" spans="1:26">
      <c r="A9" s="617"/>
      <c r="B9" s="618"/>
      <c r="C9" s="618"/>
      <c r="D9" s="618"/>
      <c r="E9" s="618"/>
      <c r="F9" s="618"/>
      <c r="G9" s="618"/>
      <c r="H9" s="618"/>
      <c r="I9" s="618"/>
      <c r="J9" s="618"/>
      <c r="K9" s="618"/>
      <c r="L9" s="618"/>
      <c r="M9" s="618"/>
      <c r="N9" s="619"/>
      <c r="O9" s="625"/>
      <c r="P9" s="625"/>
      <c r="Q9" s="625"/>
      <c r="R9" s="625"/>
      <c r="S9" s="625"/>
      <c r="T9" s="625"/>
      <c r="U9" s="625"/>
      <c r="V9" s="625"/>
      <c r="W9" s="625"/>
      <c r="X9" s="625"/>
      <c r="Y9" s="625"/>
      <c r="Z9" s="626"/>
    </row>
    <row r="10" spans="1:26">
      <c r="A10" s="617"/>
      <c r="B10" s="618"/>
      <c r="C10" s="618"/>
      <c r="D10" s="618"/>
      <c r="E10" s="618"/>
      <c r="F10" s="618"/>
      <c r="G10" s="618"/>
      <c r="H10" s="618"/>
      <c r="I10" s="618"/>
      <c r="J10" s="618"/>
      <c r="K10" s="618"/>
      <c r="L10" s="618"/>
      <c r="M10" s="618"/>
      <c r="N10" s="619"/>
      <c r="O10" s="625"/>
      <c r="P10" s="625"/>
      <c r="Q10" s="625"/>
      <c r="R10" s="625"/>
      <c r="S10" s="625"/>
      <c r="T10" s="625"/>
      <c r="U10" s="625"/>
      <c r="V10" s="625"/>
      <c r="W10" s="625"/>
      <c r="X10" s="625"/>
      <c r="Y10" s="625"/>
      <c r="Z10" s="626"/>
    </row>
    <row r="11" spans="1:26">
      <c r="A11" s="617"/>
      <c r="B11" s="618"/>
      <c r="C11" s="618"/>
      <c r="D11" s="618"/>
      <c r="E11" s="618"/>
      <c r="F11" s="618"/>
      <c r="G11" s="618"/>
      <c r="H11" s="618"/>
      <c r="I11" s="618"/>
      <c r="J11" s="618"/>
      <c r="K11" s="618"/>
      <c r="L11" s="618"/>
      <c r="M11" s="618"/>
      <c r="N11" s="619"/>
      <c r="O11" s="625"/>
      <c r="P11" s="625"/>
      <c r="Q11" s="625"/>
      <c r="R11" s="625"/>
      <c r="S11" s="625"/>
      <c r="T11" s="625"/>
      <c r="U11" s="625"/>
      <c r="V11" s="625"/>
      <c r="W11" s="625"/>
      <c r="X11" s="625"/>
      <c r="Y11" s="625"/>
      <c r="Z11" s="626"/>
    </row>
    <row r="12" spans="1:26">
      <c r="A12" s="617"/>
      <c r="B12" s="618"/>
      <c r="C12" s="618"/>
      <c r="D12" s="618"/>
      <c r="E12" s="618"/>
      <c r="F12" s="618"/>
      <c r="G12" s="618"/>
      <c r="H12" s="618"/>
      <c r="I12" s="618"/>
      <c r="J12" s="618"/>
      <c r="K12" s="618"/>
      <c r="L12" s="618"/>
      <c r="M12" s="618"/>
      <c r="N12" s="619"/>
      <c r="O12" s="625"/>
      <c r="P12" s="625"/>
      <c r="Q12" s="625"/>
      <c r="R12" s="625"/>
      <c r="S12" s="625"/>
      <c r="T12" s="625"/>
      <c r="U12" s="625"/>
      <c r="V12" s="625"/>
      <c r="W12" s="625"/>
      <c r="X12" s="625"/>
      <c r="Y12" s="625"/>
      <c r="Z12" s="626"/>
    </row>
    <row r="13" spans="1:26">
      <c r="A13" s="617"/>
      <c r="B13" s="618"/>
      <c r="C13" s="618"/>
      <c r="D13" s="618"/>
      <c r="E13" s="618"/>
      <c r="F13" s="618"/>
      <c r="G13" s="618"/>
      <c r="H13" s="618"/>
      <c r="I13" s="618"/>
      <c r="J13" s="618"/>
      <c r="K13" s="618"/>
      <c r="L13" s="618"/>
      <c r="M13" s="618"/>
      <c r="N13" s="619"/>
      <c r="O13" s="625"/>
      <c r="P13" s="625"/>
      <c r="Q13" s="625"/>
      <c r="R13" s="625"/>
      <c r="S13" s="625"/>
      <c r="T13" s="625"/>
      <c r="U13" s="625"/>
      <c r="V13" s="625"/>
      <c r="W13" s="625"/>
      <c r="X13" s="625"/>
      <c r="Y13" s="625"/>
      <c r="Z13" s="626"/>
    </row>
    <row r="14" spans="1:26">
      <c r="A14" s="617"/>
      <c r="B14" s="618"/>
      <c r="C14" s="618"/>
      <c r="D14" s="618"/>
      <c r="E14" s="618"/>
      <c r="F14" s="618"/>
      <c r="G14" s="618"/>
      <c r="H14" s="618"/>
      <c r="I14" s="618"/>
      <c r="J14" s="618"/>
      <c r="K14" s="618"/>
      <c r="L14" s="618"/>
      <c r="M14" s="618"/>
      <c r="N14" s="619"/>
      <c r="O14" s="625"/>
      <c r="P14" s="625"/>
      <c r="Q14" s="625"/>
      <c r="R14" s="625"/>
      <c r="S14" s="625"/>
      <c r="T14" s="625"/>
      <c r="U14" s="625"/>
      <c r="V14" s="625"/>
      <c r="W14" s="625"/>
      <c r="X14" s="625"/>
      <c r="Y14" s="625"/>
      <c r="Z14" s="626"/>
    </row>
    <row r="15" spans="1:26">
      <c r="A15" s="617"/>
      <c r="B15" s="618"/>
      <c r="C15" s="618"/>
      <c r="D15" s="618"/>
      <c r="E15" s="618"/>
      <c r="F15" s="618"/>
      <c r="G15" s="618"/>
      <c r="H15" s="618"/>
      <c r="I15" s="618"/>
      <c r="J15" s="618"/>
      <c r="K15" s="618"/>
      <c r="L15" s="618"/>
      <c r="M15" s="618"/>
      <c r="N15" s="619"/>
      <c r="O15" s="625"/>
      <c r="P15" s="625"/>
      <c r="Q15" s="625"/>
      <c r="R15" s="625"/>
      <c r="S15" s="625"/>
      <c r="T15" s="625"/>
      <c r="U15" s="625"/>
      <c r="V15" s="625"/>
      <c r="W15" s="625"/>
      <c r="X15" s="625"/>
      <c r="Y15" s="625"/>
      <c r="Z15" s="626"/>
    </row>
    <row r="16" spans="1:26">
      <c r="A16" s="617"/>
      <c r="B16" s="618"/>
      <c r="C16" s="618"/>
      <c r="D16" s="618"/>
      <c r="E16" s="618"/>
      <c r="F16" s="618"/>
      <c r="G16" s="618"/>
      <c r="H16" s="618"/>
      <c r="I16" s="618"/>
      <c r="J16" s="618"/>
      <c r="K16" s="618"/>
      <c r="L16" s="618"/>
      <c r="M16" s="618"/>
      <c r="N16" s="619"/>
      <c r="O16" s="625"/>
      <c r="P16" s="625"/>
      <c r="Q16" s="625"/>
      <c r="R16" s="625"/>
      <c r="S16" s="625"/>
      <c r="T16" s="625"/>
      <c r="U16" s="625"/>
      <c r="V16" s="625"/>
      <c r="W16" s="625"/>
      <c r="X16" s="625"/>
      <c r="Y16" s="625"/>
      <c r="Z16" s="626"/>
    </row>
    <row r="17" spans="1:26">
      <c r="A17" s="617"/>
      <c r="B17" s="618"/>
      <c r="C17" s="618"/>
      <c r="D17" s="618"/>
      <c r="E17" s="618"/>
      <c r="F17" s="618"/>
      <c r="G17" s="618"/>
      <c r="H17" s="618"/>
      <c r="I17" s="618"/>
      <c r="J17" s="618"/>
      <c r="K17" s="618"/>
      <c r="L17" s="618"/>
      <c r="M17" s="618"/>
      <c r="N17" s="619"/>
      <c r="O17" s="625"/>
      <c r="P17" s="625"/>
      <c r="Q17" s="625"/>
      <c r="R17" s="625"/>
      <c r="S17" s="625"/>
      <c r="T17" s="625"/>
      <c r="U17" s="625"/>
      <c r="V17" s="625"/>
      <c r="W17" s="625"/>
      <c r="X17" s="625"/>
      <c r="Y17" s="625"/>
      <c r="Z17" s="626"/>
    </row>
    <row r="18" spans="1:26">
      <c r="A18" s="617"/>
      <c r="B18" s="618"/>
      <c r="C18" s="618"/>
      <c r="D18" s="618"/>
      <c r="E18" s="618"/>
      <c r="F18" s="618"/>
      <c r="G18" s="618"/>
      <c r="H18" s="618"/>
      <c r="I18" s="618"/>
      <c r="J18" s="618"/>
      <c r="K18" s="618"/>
      <c r="L18" s="618"/>
      <c r="M18" s="618"/>
      <c r="N18" s="619"/>
      <c r="O18" s="625"/>
      <c r="P18" s="625"/>
      <c r="Q18" s="625"/>
      <c r="R18" s="625"/>
      <c r="S18" s="625"/>
      <c r="T18" s="625"/>
      <c r="U18" s="625"/>
      <c r="V18" s="625"/>
      <c r="W18" s="625"/>
      <c r="X18" s="625"/>
      <c r="Y18" s="625"/>
      <c r="Z18" s="626"/>
    </row>
    <row r="19" spans="1:26">
      <c r="A19" s="617"/>
      <c r="B19" s="618"/>
      <c r="C19" s="618"/>
      <c r="D19" s="618"/>
      <c r="E19" s="618"/>
      <c r="F19" s="618"/>
      <c r="G19" s="618"/>
      <c r="H19" s="618"/>
      <c r="I19" s="618"/>
      <c r="J19" s="618"/>
      <c r="K19" s="618"/>
      <c r="L19" s="618"/>
      <c r="M19" s="618"/>
      <c r="N19" s="619"/>
      <c r="O19" s="625"/>
      <c r="P19" s="625"/>
      <c r="Q19" s="625"/>
      <c r="R19" s="625"/>
      <c r="S19" s="625"/>
      <c r="T19" s="625"/>
      <c r="U19" s="625"/>
      <c r="V19" s="625"/>
      <c r="W19" s="625"/>
      <c r="X19" s="625"/>
      <c r="Y19" s="625"/>
      <c r="Z19" s="626"/>
    </row>
    <row r="20" spans="1:26">
      <c r="A20" s="617"/>
      <c r="B20" s="618"/>
      <c r="C20" s="618"/>
      <c r="D20" s="618"/>
      <c r="E20" s="618"/>
      <c r="F20" s="618"/>
      <c r="G20" s="618"/>
      <c r="H20" s="618"/>
      <c r="I20" s="618"/>
      <c r="J20" s="618"/>
      <c r="K20" s="618"/>
      <c r="L20" s="618"/>
      <c r="M20" s="618"/>
      <c r="N20" s="619"/>
      <c r="O20" s="625"/>
      <c r="P20" s="625"/>
      <c r="Q20" s="625"/>
      <c r="R20" s="625"/>
      <c r="S20" s="625"/>
      <c r="T20" s="625"/>
      <c r="U20" s="625"/>
      <c r="V20" s="625"/>
      <c r="W20" s="625"/>
      <c r="X20" s="625"/>
      <c r="Y20" s="625"/>
      <c r="Z20" s="626"/>
    </row>
    <row r="21" spans="1:26">
      <c r="A21" s="617"/>
      <c r="B21" s="618"/>
      <c r="C21" s="618"/>
      <c r="D21" s="618"/>
      <c r="E21" s="618"/>
      <c r="F21" s="618"/>
      <c r="G21" s="618"/>
      <c r="H21" s="618"/>
      <c r="I21" s="618"/>
      <c r="J21" s="618"/>
      <c r="K21" s="618"/>
      <c r="L21" s="618"/>
      <c r="M21" s="618"/>
      <c r="N21" s="619"/>
      <c r="O21" s="625"/>
      <c r="P21" s="625"/>
      <c r="Q21" s="625"/>
      <c r="R21" s="625"/>
      <c r="S21" s="625"/>
      <c r="T21" s="625"/>
      <c r="U21" s="625"/>
      <c r="V21" s="625"/>
      <c r="W21" s="625"/>
      <c r="X21" s="625"/>
      <c r="Y21" s="625"/>
      <c r="Z21" s="626"/>
    </row>
    <row r="22" spans="1:26">
      <c r="A22" s="617"/>
      <c r="B22" s="618"/>
      <c r="C22" s="618"/>
      <c r="D22" s="618"/>
      <c r="E22" s="618"/>
      <c r="F22" s="618"/>
      <c r="G22" s="618"/>
      <c r="H22" s="618"/>
      <c r="I22" s="618"/>
      <c r="J22" s="618"/>
      <c r="K22" s="618"/>
      <c r="L22" s="618"/>
      <c r="M22" s="618"/>
      <c r="N22" s="619"/>
      <c r="O22" s="625"/>
      <c r="P22" s="625"/>
      <c r="Q22" s="625"/>
      <c r="R22" s="625"/>
      <c r="S22" s="625"/>
      <c r="T22" s="625"/>
      <c r="U22" s="625"/>
      <c r="V22" s="625"/>
      <c r="W22" s="625"/>
      <c r="X22" s="625"/>
      <c r="Y22" s="625"/>
      <c r="Z22" s="626"/>
    </row>
    <row r="23" spans="1:26">
      <c r="A23" s="617"/>
      <c r="B23" s="618"/>
      <c r="C23" s="618"/>
      <c r="D23" s="618"/>
      <c r="E23" s="618"/>
      <c r="F23" s="618"/>
      <c r="G23" s="618"/>
      <c r="H23" s="618"/>
      <c r="I23" s="618"/>
      <c r="J23" s="618"/>
      <c r="K23" s="618"/>
      <c r="L23" s="618"/>
      <c r="M23" s="618"/>
      <c r="N23" s="619"/>
      <c r="O23" s="625"/>
      <c r="P23" s="625"/>
      <c r="Q23" s="625"/>
      <c r="R23" s="625"/>
      <c r="S23" s="625"/>
      <c r="T23" s="625"/>
      <c r="U23" s="625"/>
      <c r="V23" s="625"/>
      <c r="W23" s="625"/>
      <c r="X23" s="625"/>
      <c r="Y23" s="625"/>
      <c r="Z23" s="626"/>
    </row>
    <row r="24" spans="1:26">
      <c r="A24" s="617"/>
      <c r="B24" s="618"/>
      <c r="C24" s="618"/>
      <c r="D24" s="618"/>
      <c r="E24" s="618"/>
      <c r="F24" s="618"/>
      <c r="G24" s="618"/>
      <c r="H24" s="618"/>
      <c r="I24" s="618"/>
      <c r="J24" s="618"/>
      <c r="K24" s="618"/>
      <c r="L24" s="618"/>
      <c r="M24" s="618"/>
      <c r="N24" s="619"/>
      <c r="O24" s="625"/>
      <c r="P24" s="625"/>
      <c r="Q24" s="625"/>
      <c r="R24" s="625"/>
      <c r="S24" s="625"/>
      <c r="T24" s="625"/>
      <c r="U24" s="625"/>
      <c r="V24" s="625"/>
      <c r="W24" s="625"/>
      <c r="X24" s="625"/>
      <c r="Y24" s="625"/>
      <c r="Z24" s="626"/>
    </row>
    <row r="25" spans="1:26">
      <c r="A25" s="617"/>
      <c r="B25" s="618"/>
      <c r="C25" s="618"/>
      <c r="D25" s="618"/>
      <c r="E25" s="618"/>
      <c r="F25" s="618"/>
      <c r="G25" s="618"/>
      <c r="H25" s="618"/>
      <c r="I25" s="618"/>
      <c r="J25" s="618"/>
      <c r="K25" s="618"/>
      <c r="L25" s="618"/>
      <c r="M25" s="618"/>
      <c r="N25" s="619"/>
      <c r="O25" s="625"/>
      <c r="P25" s="625"/>
      <c r="Q25" s="625"/>
      <c r="R25" s="625"/>
      <c r="S25" s="625"/>
      <c r="T25" s="625"/>
      <c r="U25" s="625"/>
      <c r="V25" s="625"/>
      <c r="W25" s="625"/>
      <c r="X25" s="625"/>
      <c r="Y25" s="625"/>
      <c r="Z25" s="626"/>
    </row>
    <row r="26" spans="1:26">
      <c r="A26" s="617"/>
      <c r="B26" s="618"/>
      <c r="C26" s="618"/>
      <c r="D26" s="618"/>
      <c r="E26" s="618"/>
      <c r="F26" s="618"/>
      <c r="G26" s="618"/>
      <c r="H26" s="618"/>
      <c r="I26" s="618"/>
      <c r="J26" s="618"/>
      <c r="K26" s="618"/>
      <c r="L26" s="618"/>
      <c r="M26" s="618"/>
      <c r="N26" s="619"/>
      <c r="O26" s="625"/>
      <c r="P26" s="625"/>
      <c r="Q26" s="625"/>
      <c r="R26" s="625"/>
      <c r="S26" s="625"/>
      <c r="T26" s="625"/>
      <c r="U26" s="625"/>
      <c r="V26" s="625"/>
      <c r="W26" s="625"/>
      <c r="X26" s="625"/>
      <c r="Y26" s="625"/>
      <c r="Z26" s="626"/>
    </row>
    <row r="27" spans="1:26">
      <c r="A27" s="617"/>
      <c r="B27" s="618"/>
      <c r="C27" s="618"/>
      <c r="D27" s="618"/>
      <c r="E27" s="618"/>
      <c r="F27" s="618"/>
      <c r="G27" s="618"/>
      <c r="H27" s="618"/>
      <c r="I27" s="618"/>
      <c r="J27" s="618"/>
      <c r="K27" s="618"/>
      <c r="L27" s="618"/>
      <c r="M27" s="618"/>
      <c r="N27" s="619"/>
      <c r="O27" s="625"/>
      <c r="P27" s="625"/>
      <c r="Q27" s="625"/>
      <c r="R27" s="625"/>
      <c r="S27" s="625"/>
      <c r="T27" s="625"/>
      <c r="U27" s="625"/>
      <c r="V27" s="625"/>
      <c r="W27" s="625"/>
      <c r="X27" s="625"/>
      <c r="Y27" s="625"/>
      <c r="Z27" s="626"/>
    </row>
    <row r="28" spans="1:26">
      <c r="A28" s="617"/>
      <c r="B28" s="618"/>
      <c r="C28" s="618"/>
      <c r="D28" s="618"/>
      <c r="E28" s="618"/>
      <c r="F28" s="618"/>
      <c r="G28" s="618"/>
      <c r="H28" s="618"/>
      <c r="I28" s="618"/>
      <c r="J28" s="618"/>
      <c r="K28" s="618"/>
      <c r="L28" s="618"/>
      <c r="M28" s="618"/>
      <c r="N28" s="619"/>
      <c r="O28" s="625"/>
      <c r="P28" s="625"/>
      <c r="Q28" s="625"/>
      <c r="R28" s="625"/>
      <c r="S28" s="625"/>
      <c r="T28" s="625"/>
      <c r="U28" s="625"/>
      <c r="V28" s="625"/>
      <c r="W28" s="625"/>
      <c r="X28" s="625"/>
      <c r="Y28" s="625"/>
      <c r="Z28" s="626"/>
    </row>
    <row r="29" spans="1:26">
      <c r="A29" s="617"/>
      <c r="B29" s="618"/>
      <c r="C29" s="618"/>
      <c r="D29" s="618"/>
      <c r="E29" s="618"/>
      <c r="F29" s="618"/>
      <c r="G29" s="618"/>
      <c r="H29" s="618"/>
      <c r="I29" s="618"/>
      <c r="J29" s="618"/>
      <c r="K29" s="618"/>
      <c r="L29" s="618"/>
      <c r="M29" s="618"/>
      <c r="N29" s="619"/>
      <c r="O29" s="625"/>
      <c r="P29" s="625"/>
      <c r="Q29" s="625"/>
      <c r="R29" s="625"/>
      <c r="S29" s="625"/>
      <c r="T29" s="625"/>
      <c r="U29" s="625"/>
      <c r="V29" s="625"/>
      <c r="W29" s="625"/>
      <c r="X29" s="625"/>
      <c r="Y29" s="625"/>
      <c r="Z29" s="626"/>
    </row>
    <row r="30" spans="1:26">
      <c r="A30" s="617"/>
      <c r="B30" s="618"/>
      <c r="C30" s="618"/>
      <c r="D30" s="618"/>
      <c r="E30" s="618"/>
      <c r="F30" s="618"/>
      <c r="G30" s="618"/>
      <c r="H30" s="618"/>
      <c r="I30" s="618"/>
      <c r="J30" s="618"/>
      <c r="K30" s="618"/>
      <c r="L30" s="618"/>
      <c r="M30" s="618"/>
      <c r="N30" s="619"/>
      <c r="O30" s="625"/>
      <c r="P30" s="625"/>
      <c r="Q30" s="625"/>
      <c r="R30" s="625"/>
      <c r="S30" s="625"/>
      <c r="T30" s="625"/>
      <c r="U30" s="625"/>
      <c r="V30" s="625"/>
      <c r="W30" s="625"/>
      <c r="X30" s="625"/>
      <c r="Y30" s="625"/>
      <c r="Z30" s="626"/>
    </row>
    <row r="31" spans="1:26">
      <c r="A31" s="617"/>
      <c r="B31" s="618"/>
      <c r="C31" s="618"/>
      <c r="D31" s="618"/>
      <c r="E31" s="618"/>
      <c r="F31" s="618"/>
      <c r="G31" s="618"/>
      <c r="H31" s="618"/>
      <c r="I31" s="618"/>
      <c r="J31" s="618"/>
      <c r="K31" s="618"/>
      <c r="L31" s="618"/>
      <c r="M31" s="618"/>
      <c r="N31" s="619"/>
      <c r="O31" s="625"/>
      <c r="P31" s="625"/>
      <c r="Q31" s="625"/>
      <c r="R31" s="625"/>
      <c r="S31" s="625"/>
      <c r="T31" s="625"/>
      <c r="U31" s="625"/>
      <c r="V31" s="625"/>
      <c r="W31" s="625"/>
      <c r="X31" s="625"/>
      <c r="Y31" s="625"/>
      <c r="Z31" s="626"/>
    </row>
    <row r="32" spans="1:26">
      <c r="A32" s="617"/>
      <c r="B32" s="618"/>
      <c r="C32" s="618"/>
      <c r="D32" s="618"/>
      <c r="E32" s="618"/>
      <c r="F32" s="618"/>
      <c r="G32" s="618"/>
      <c r="H32" s="618"/>
      <c r="I32" s="618"/>
      <c r="J32" s="618"/>
      <c r="K32" s="618"/>
      <c r="L32" s="618"/>
      <c r="M32" s="618"/>
      <c r="N32" s="619"/>
      <c r="O32" s="625"/>
      <c r="P32" s="625"/>
      <c r="Q32" s="625"/>
      <c r="R32" s="625"/>
      <c r="S32" s="625"/>
      <c r="T32" s="625"/>
      <c r="U32" s="625"/>
      <c r="V32" s="625"/>
      <c r="W32" s="625"/>
      <c r="X32" s="625"/>
      <c r="Y32" s="625"/>
      <c r="Z32" s="626"/>
    </row>
    <row r="33" spans="1:26">
      <c r="A33" s="617"/>
      <c r="B33" s="618"/>
      <c r="C33" s="618"/>
      <c r="D33" s="618"/>
      <c r="E33" s="618"/>
      <c r="F33" s="618"/>
      <c r="G33" s="618"/>
      <c r="H33" s="618"/>
      <c r="I33" s="618"/>
      <c r="J33" s="618"/>
      <c r="K33" s="618"/>
      <c r="L33" s="618"/>
      <c r="M33" s="618"/>
      <c r="N33" s="619"/>
      <c r="O33" s="625"/>
      <c r="P33" s="625"/>
      <c r="Q33" s="625"/>
      <c r="R33" s="625"/>
      <c r="S33" s="625"/>
      <c r="T33" s="625"/>
      <c r="U33" s="625"/>
      <c r="V33" s="625"/>
      <c r="W33" s="625"/>
      <c r="X33" s="625"/>
      <c r="Y33" s="625"/>
      <c r="Z33" s="626"/>
    </row>
    <row r="34" spans="1:26">
      <c r="A34" s="617"/>
      <c r="B34" s="618"/>
      <c r="C34" s="618"/>
      <c r="D34" s="618"/>
      <c r="E34" s="618"/>
      <c r="F34" s="618"/>
      <c r="G34" s="618"/>
      <c r="H34" s="618"/>
      <c r="I34" s="618"/>
      <c r="J34" s="618"/>
      <c r="K34" s="618"/>
      <c r="L34" s="618"/>
      <c r="M34" s="618"/>
      <c r="N34" s="619"/>
      <c r="O34" s="625"/>
      <c r="P34" s="625"/>
      <c r="Q34" s="625"/>
      <c r="R34" s="625"/>
      <c r="S34" s="625"/>
      <c r="T34" s="625"/>
      <c r="U34" s="625"/>
      <c r="V34" s="625"/>
      <c r="W34" s="625"/>
      <c r="X34" s="625"/>
      <c r="Y34" s="625"/>
      <c r="Z34" s="626"/>
    </row>
    <row r="35" spans="1:26">
      <c r="A35" s="617"/>
      <c r="B35" s="618"/>
      <c r="C35" s="618"/>
      <c r="D35" s="618"/>
      <c r="E35" s="618"/>
      <c r="F35" s="618"/>
      <c r="G35" s="618"/>
      <c r="H35" s="618"/>
      <c r="I35" s="618"/>
      <c r="J35" s="618"/>
      <c r="K35" s="618"/>
      <c r="L35" s="618"/>
      <c r="M35" s="618"/>
      <c r="N35" s="619"/>
      <c r="O35" s="625"/>
      <c r="P35" s="625"/>
      <c r="Q35" s="625"/>
      <c r="R35" s="625"/>
      <c r="S35" s="625"/>
      <c r="T35" s="625"/>
      <c r="U35" s="625"/>
      <c r="V35" s="625"/>
      <c r="W35" s="625"/>
      <c r="X35" s="625"/>
      <c r="Y35" s="625"/>
      <c r="Z35" s="626"/>
    </row>
    <row r="36" spans="1:26">
      <c r="A36" s="617"/>
      <c r="B36" s="618"/>
      <c r="C36" s="618"/>
      <c r="D36" s="618"/>
      <c r="E36" s="618"/>
      <c r="F36" s="618"/>
      <c r="G36" s="618"/>
      <c r="H36" s="618"/>
      <c r="I36" s="618"/>
      <c r="J36" s="618"/>
      <c r="K36" s="618"/>
      <c r="L36" s="618"/>
      <c r="M36" s="618"/>
      <c r="N36" s="619"/>
      <c r="O36" s="625"/>
      <c r="P36" s="625"/>
      <c r="Q36" s="625"/>
      <c r="R36" s="625"/>
      <c r="S36" s="625"/>
      <c r="T36" s="625"/>
      <c r="U36" s="625"/>
      <c r="V36" s="625"/>
      <c r="W36" s="625"/>
      <c r="X36" s="625"/>
      <c r="Y36" s="625"/>
      <c r="Z36" s="626"/>
    </row>
    <row r="37" spans="1:26">
      <c r="A37" s="617"/>
      <c r="B37" s="618"/>
      <c r="C37" s="618"/>
      <c r="D37" s="618"/>
      <c r="E37" s="618"/>
      <c r="F37" s="618"/>
      <c r="G37" s="618"/>
      <c r="H37" s="618"/>
      <c r="I37" s="618"/>
      <c r="J37" s="618"/>
      <c r="K37" s="618"/>
      <c r="L37" s="618"/>
      <c r="M37" s="618"/>
      <c r="N37" s="619"/>
      <c r="O37" s="625"/>
      <c r="P37" s="625"/>
      <c r="Q37" s="625"/>
      <c r="R37" s="625"/>
      <c r="S37" s="625"/>
      <c r="T37" s="625"/>
      <c r="U37" s="625"/>
      <c r="V37" s="625"/>
      <c r="W37" s="625"/>
      <c r="X37" s="625"/>
      <c r="Y37" s="625"/>
      <c r="Z37" s="626"/>
    </row>
    <row r="38" spans="1:26">
      <c r="A38" s="617"/>
      <c r="B38" s="618"/>
      <c r="C38" s="618"/>
      <c r="D38" s="618"/>
      <c r="E38" s="618"/>
      <c r="F38" s="618"/>
      <c r="G38" s="618"/>
      <c r="H38" s="618"/>
      <c r="I38" s="618"/>
      <c r="J38" s="618"/>
      <c r="K38" s="618"/>
      <c r="L38" s="618"/>
      <c r="M38" s="618"/>
      <c r="N38" s="619"/>
      <c r="O38" s="625"/>
      <c r="P38" s="625"/>
      <c r="Q38" s="625"/>
      <c r="R38" s="625"/>
      <c r="S38" s="625"/>
      <c r="T38" s="625"/>
      <c r="U38" s="625"/>
      <c r="V38" s="625"/>
      <c r="W38" s="625"/>
      <c r="X38" s="625"/>
      <c r="Y38" s="625"/>
      <c r="Z38" s="626"/>
    </row>
    <row r="39" spans="1:26">
      <c r="A39" s="617"/>
      <c r="B39" s="618"/>
      <c r="C39" s="618"/>
      <c r="D39" s="618"/>
      <c r="E39" s="618"/>
      <c r="F39" s="618"/>
      <c r="G39" s="618"/>
      <c r="H39" s="618"/>
      <c r="I39" s="618"/>
      <c r="J39" s="618"/>
      <c r="K39" s="618"/>
      <c r="L39" s="618"/>
      <c r="M39" s="618"/>
      <c r="N39" s="619"/>
      <c r="O39" s="625"/>
      <c r="P39" s="625"/>
      <c r="Q39" s="625"/>
      <c r="R39" s="625"/>
      <c r="S39" s="625"/>
      <c r="T39" s="625"/>
      <c r="U39" s="625"/>
      <c r="V39" s="625"/>
      <c r="W39" s="625"/>
      <c r="X39" s="625"/>
      <c r="Y39" s="625"/>
      <c r="Z39" s="626"/>
    </row>
    <row r="40" spans="1:26">
      <c r="A40" s="617"/>
      <c r="B40" s="618"/>
      <c r="C40" s="618"/>
      <c r="D40" s="618"/>
      <c r="E40" s="618"/>
      <c r="F40" s="618"/>
      <c r="G40" s="618"/>
      <c r="H40" s="618"/>
      <c r="I40" s="618"/>
      <c r="J40" s="618"/>
      <c r="K40" s="618"/>
      <c r="L40" s="618"/>
      <c r="M40" s="618"/>
      <c r="N40" s="619"/>
      <c r="O40" s="625"/>
      <c r="P40" s="625"/>
      <c r="Q40" s="625"/>
      <c r="R40" s="625"/>
      <c r="S40" s="625"/>
      <c r="T40" s="625"/>
      <c r="U40" s="625"/>
      <c r="V40" s="625"/>
      <c r="W40" s="625"/>
      <c r="X40" s="625"/>
      <c r="Y40" s="625"/>
      <c r="Z40" s="626"/>
    </row>
    <row r="41" spans="1:26" ht="15.75" thickBot="1">
      <c r="A41" s="620"/>
      <c r="B41" s="621"/>
      <c r="C41" s="621"/>
      <c r="D41" s="621"/>
      <c r="E41" s="621"/>
      <c r="F41" s="621"/>
      <c r="G41" s="621"/>
      <c r="H41" s="621"/>
      <c r="I41" s="621"/>
      <c r="J41" s="621"/>
      <c r="K41" s="621"/>
      <c r="L41" s="621"/>
      <c r="M41" s="621"/>
      <c r="N41" s="622"/>
      <c r="O41" s="627"/>
      <c r="P41" s="627"/>
      <c r="Q41" s="627"/>
      <c r="R41" s="627"/>
      <c r="S41" s="627"/>
      <c r="T41" s="627"/>
      <c r="U41" s="627"/>
      <c r="V41" s="627"/>
      <c r="W41" s="627"/>
      <c r="X41" s="627"/>
      <c r="Y41" s="627"/>
      <c r="Z41" s="628"/>
    </row>
  </sheetData>
  <mergeCells count="2">
    <mergeCell ref="A1:N41"/>
    <mergeCell ref="O1:Z4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B214-CE58-4BC1-993A-DA6F9F7B0493}">
  <dimension ref="A8:AW19"/>
  <sheetViews>
    <sheetView showGridLines="0" workbookViewId="0">
      <selection activeCell="A15" sqref="A15:A16"/>
    </sheetView>
  </sheetViews>
  <sheetFormatPr defaultColWidth="11.42578125" defaultRowHeight="15"/>
  <cols>
    <col min="1" max="1" width="43.140625" bestFit="1" customWidth="1"/>
    <col min="2" max="2" width="22.28515625" customWidth="1"/>
    <col min="3" max="3" width="18.42578125" customWidth="1"/>
    <col min="4" max="5" width="11.7109375" customWidth="1"/>
    <col min="6" max="6" width="13.85546875" customWidth="1"/>
    <col min="7" max="7" width="12.85546875" customWidth="1"/>
    <col min="8" max="8" width="15.7109375" style="151" customWidth="1"/>
    <col min="9" max="9" width="9.42578125" customWidth="1"/>
    <col min="10" max="10" width="11.7109375" customWidth="1"/>
    <col min="11" max="11" width="14.42578125" customWidth="1"/>
    <col min="12" max="12" width="17.28515625" bestFit="1" customWidth="1"/>
    <col min="13" max="16" width="13.85546875" bestFit="1" customWidth="1"/>
    <col min="17" max="17" width="15.85546875" customWidth="1"/>
    <col min="18" max="18" width="13.5703125" customWidth="1"/>
    <col min="19" max="19" width="15.85546875" customWidth="1"/>
    <col min="20" max="20" width="13.85546875" bestFit="1" customWidth="1"/>
    <col min="21" max="21" width="20.28515625" customWidth="1"/>
    <col min="22" max="22" width="21.42578125" customWidth="1"/>
    <col min="23" max="23" width="16.85546875" customWidth="1"/>
    <col min="24" max="26" width="0" hidden="1" customWidth="1"/>
    <col min="27" max="27" width="12.42578125" hidden="1" customWidth="1"/>
    <col min="28" max="28" width="16.7109375" hidden="1" customWidth="1"/>
    <col min="29" max="29" width="8.140625" hidden="1" customWidth="1"/>
    <col min="30" max="31" width="0" hidden="1" customWidth="1"/>
    <col min="32" max="32" width="12.42578125" hidden="1" customWidth="1"/>
    <col min="33" max="33" width="16.7109375" hidden="1" customWidth="1"/>
    <col min="34" max="36" width="0" hidden="1" customWidth="1"/>
    <col min="37" max="37" width="12.42578125" hidden="1" customWidth="1"/>
    <col min="38" max="38" width="16.7109375" hidden="1" customWidth="1"/>
    <col min="39" max="41" width="0" hidden="1" customWidth="1"/>
    <col min="42" max="42" width="12.42578125" hidden="1" customWidth="1"/>
    <col min="43" max="49" width="16.7109375" hidden="1" customWidth="1"/>
    <col min="50" max="163" width="0" hidden="1" customWidth="1"/>
    <col min="164" max="165" width="9.42578125" customWidth="1"/>
    <col min="166" max="166" width="5" customWidth="1"/>
    <col min="167" max="167" width="3.42578125" customWidth="1"/>
    <col min="168" max="168" width="8.7109375" customWidth="1"/>
  </cols>
  <sheetData>
    <row r="8" spans="1:43" ht="21">
      <c r="A8" s="658" t="s">
        <v>60</v>
      </c>
      <c r="B8" s="658"/>
      <c r="C8" s="658"/>
      <c r="D8" s="658"/>
      <c r="E8" s="658"/>
      <c r="F8" s="658"/>
      <c r="G8" s="658"/>
      <c r="H8" s="658"/>
      <c r="I8" s="658"/>
      <c r="J8" s="658"/>
      <c r="K8" s="658"/>
      <c r="L8" s="658"/>
      <c r="M8" s="658"/>
      <c r="N8" s="658"/>
      <c r="O8" s="658"/>
      <c r="P8" s="658"/>
      <c r="Q8" s="658"/>
      <c r="R8" s="658"/>
      <c r="S8" s="658"/>
      <c r="T8" s="658"/>
      <c r="U8" s="658"/>
      <c r="V8" s="658"/>
    </row>
    <row r="9" spans="1:43" ht="21">
      <c r="A9" s="658" t="s">
        <v>61</v>
      </c>
      <c r="B9" s="658"/>
      <c r="C9" s="658"/>
      <c r="D9" s="658"/>
      <c r="E9" s="658"/>
      <c r="F9" s="658"/>
      <c r="G9" s="658"/>
      <c r="H9" s="658"/>
      <c r="I9" s="658"/>
      <c r="J9" s="658"/>
      <c r="K9" s="658"/>
      <c r="L9" s="658"/>
      <c r="M9" s="658"/>
      <c r="N9" s="658"/>
      <c r="O9" s="658"/>
      <c r="P9" s="658"/>
      <c r="Q9" s="658"/>
      <c r="R9" s="658"/>
      <c r="S9" s="658"/>
      <c r="T9" s="658"/>
      <c r="U9" s="658"/>
      <c r="V9" s="658"/>
    </row>
    <row r="10" spans="1:43" ht="21">
      <c r="A10" s="658" t="s">
        <v>137</v>
      </c>
      <c r="B10" s="658"/>
      <c r="C10" s="658"/>
      <c r="D10" s="658"/>
      <c r="E10" s="658"/>
      <c r="F10" s="658"/>
      <c r="G10" s="658"/>
      <c r="H10" s="658"/>
      <c r="I10" s="658"/>
      <c r="J10" s="658"/>
      <c r="K10" s="658"/>
      <c r="L10" s="658"/>
      <c r="M10" s="658"/>
      <c r="N10" s="658"/>
      <c r="O10" s="658"/>
      <c r="P10" s="658"/>
      <c r="Q10" s="658"/>
      <c r="R10" s="658"/>
      <c r="S10" s="658"/>
      <c r="T10" s="658"/>
      <c r="U10" s="658"/>
      <c r="V10" s="658"/>
    </row>
    <row r="11" spans="1:43" ht="20.25">
      <c r="A11" s="140" t="s">
        <v>62</v>
      </c>
      <c r="B11" s="722" t="s">
        <v>269</v>
      </c>
      <c r="C11" s="722"/>
      <c r="D11" s="722"/>
      <c r="E11" s="722"/>
      <c r="F11" s="722"/>
      <c r="G11" s="722"/>
      <c r="H11" s="722"/>
      <c r="I11" s="722"/>
      <c r="J11" s="722"/>
      <c r="K11" s="722"/>
      <c r="L11" s="722"/>
      <c r="M11" s="722"/>
      <c r="N11" s="722"/>
      <c r="O11" s="722"/>
      <c r="P11" s="722"/>
      <c r="Q11" s="722"/>
      <c r="R11" s="722"/>
      <c r="S11" s="722"/>
      <c r="T11" s="722"/>
      <c r="U11" s="722"/>
      <c r="V11" s="722"/>
    </row>
    <row r="12" spans="1:43" ht="20.25">
      <c r="A12" s="140" t="s">
        <v>63</v>
      </c>
      <c r="B12" s="722" t="s">
        <v>155</v>
      </c>
      <c r="C12" s="722"/>
      <c r="D12" s="722"/>
      <c r="E12" s="722"/>
      <c r="F12" s="722"/>
      <c r="G12" s="722"/>
      <c r="H12" s="722"/>
      <c r="I12" s="722"/>
      <c r="J12" s="722"/>
      <c r="K12" s="722"/>
      <c r="L12" s="722"/>
      <c r="M12" s="722"/>
      <c r="N12" s="722"/>
      <c r="O12" s="722"/>
      <c r="P12" s="722"/>
      <c r="Q12" s="722"/>
      <c r="R12" s="722"/>
      <c r="S12" s="722"/>
      <c r="T12" s="722"/>
      <c r="U12" s="722"/>
      <c r="V12" s="722"/>
    </row>
    <row r="13" spans="1:43" ht="20.25">
      <c r="A13" s="140" t="s">
        <v>65</v>
      </c>
      <c r="B13" s="141" t="s">
        <v>270</v>
      </c>
      <c r="C13" s="142"/>
      <c r="D13" s="142"/>
      <c r="E13" s="142"/>
      <c r="F13" s="142"/>
      <c r="G13" s="142"/>
      <c r="H13" s="143"/>
      <c r="I13" s="142"/>
      <c r="J13" s="142"/>
      <c r="K13" s="142"/>
      <c r="L13" s="142"/>
      <c r="M13" s="142"/>
      <c r="N13" s="142"/>
      <c r="O13" s="142"/>
      <c r="P13" s="142"/>
      <c r="Q13" s="142"/>
      <c r="R13" s="142"/>
      <c r="S13" s="142"/>
      <c r="T13" s="142"/>
      <c r="U13" s="142"/>
      <c r="V13" s="144"/>
    </row>
    <row r="14" spans="1:43">
      <c r="A14" s="56"/>
      <c r="B14" s="56"/>
      <c r="C14" s="56"/>
      <c r="D14" s="56"/>
      <c r="E14" s="56"/>
      <c r="F14" s="56"/>
      <c r="G14" s="56"/>
      <c r="H14" s="72"/>
      <c r="I14" s="56"/>
      <c r="J14" s="56"/>
      <c r="K14" s="56"/>
      <c r="L14" s="56"/>
      <c r="M14" s="56"/>
      <c r="N14" s="56"/>
      <c r="O14" s="56"/>
      <c r="P14" s="56"/>
      <c r="Q14" s="56"/>
      <c r="R14" s="56"/>
      <c r="S14" s="56"/>
      <c r="T14" s="56"/>
      <c r="U14" s="56"/>
      <c r="V14" s="56"/>
    </row>
    <row r="15" spans="1:43" ht="15.75" thickBot="1">
      <c r="A15" s="708" t="s">
        <v>66</v>
      </c>
      <c r="B15" s="696" t="s">
        <v>70</v>
      </c>
      <c r="C15" s="714" t="s">
        <v>23</v>
      </c>
      <c r="D15" s="714" t="s">
        <v>139</v>
      </c>
      <c r="E15" s="714" t="s">
        <v>140</v>
      </c>
      <c r="F15" s="714" t="s">
        <v>141</v>
      </c>
      <c r="G15" s="714" t="s">
        <v>101</v>
      </c>
      <c r="H15" s="714" t="s">
        <v>142</v>
      </c>
      <c r="I15" s="710" t="s">
        <v>71</v>
      </c>
      <c r="J15" s="710"/>
      <c r="K15" s="710"/>
      <c r="L15" s="710" t="s">
        <v>72</v>
      </c>
      <c r="M15" s="710"/>
      <c r="N15" s="710"/>
      <c r="O15" s="710" t="s">
        <v>73</v>
      </c>
      <c r="P15" s="710"/>
      <c r="Q15" s="710"/>
      <c r="R15" s="710" t="s">
        <v>74</v>
      </c>
      <c r="S15" s="710"/>
      <c r="T15" s="710"/>
      <c r="U15" s="696" t="s">
        <v>75</v>
      </c>
      <c r="V15" s="696" t="s">
        <v>185</v>
      </c>
      <c r="X15" s="145"/>
      <c r="Y15" s="145"/>
      <c r="Z15" s="145"/>
      <c r="AA15" s="145"/>
      <c r="AB15" s="145"/>
      <c r="AC15" s="145"/>
      <c r="AD15" s="145"/>
      <c r="AE15" s="145"/>
      <c r="AF15" s="145"/>
      <c r="AG15" s="145"/>
      <c r="AH15" s="145"/>
      <c r="AI15" s="145"/>
      <c r="AJ15" s="145"/>
      <c r="AK15" s="145"/>
      <c r="AL15" s="145"/>
      <c r="AM15" s="145"/>
      <c r="AN15" s="145"/>
      <c r="AO15" s="145"/>
      <c r="AP15" s="145"/>
      <c r="AQ15" s="145"/>
    </row>
    <row r="16" spans="1:43" s="134" customFormat="1">
      <c r="A16" s="709"/>
      <c r="B16" s="696"/>
      <c r="C16" s="715"/>
      <c r="D16" s="715"/>
      <c r="E16" s="715"/>
      <c r="F16" s="715"/>
      <c r="G16" s="715"/>
      <c r="H16" s="715"/>
      <c r="I16" s="52" t="s">
        <v>79</v>
      </c>
      <c r="J16" s="52" t="s">
        <v>80</v>
      </c>
      <c r="K16" s="52" t="s">
        <v>81</v>
      </c>
      <c r="L16" s="52" t="s">
        <v>82</v>
      </c>
      <c r="M16" s="52" t="s">
        <v>83</v>
      </c>
      <c r="N16" s="52" t="s">
        <v>84</v>
      </c>
      <c r="O16" s="52" t="s">
        <v>85</v>
      </c>
      <c r="P16" s="52" t="s">
        <v>86</v>
      </c>
      <c r="Q16" s="52" t="s">
        <v>87</v>
      </c>
      <c r="R16" s="52" t="s">
        <v>88</v>
      </c>
      <c r="S16" s="52" t="s">
        <v>89</v>
      </c>
      <c r="T16" s="52" t="s">
        <v>90</v>
      </c>
      <c r="U16" s="696"/>
      <c r="V16" s="696"/>
      <c r="X16" s="146" t="s">
        <v>79</v>
      </c>
      <c r="Y16" s="146" t="s">
        <v>80</v>
      </c>
      <c r="Z16" s="146" t="s">
        <v>81</v>
      </c>
      <c r="AA16" s="146" t="s">
        <v>159</v>
      </c>
      <c r="AB16" s="146" t="s">
        <v>160</v>
      </c>
      <c r="AC16" s="146" t="s">
        <v>82</v>
      </c>
      <c r="AD16" s="146" t="s">
        <v>83</v>
      </c>
      <c r="AE16" s="146" t="s">
        <v>84</v>
      </c>
      <c r="AF16" s="146" t="s">
        <v>161</v>
      </c>
      <c r="AG16" s="146" t="s">
        <v>162</v>
      </c>
      <c r="AH16" s="146" t="s">
        <v>85</v>
      </c>
      <c r="AI16" s="146" t="s">
        <v>86</v>
      </c>
      <c r="AJ16" s="146" t="s">
        <v>87</v>
      </c>
      <c r="AK16" s="146" t="s">
        <v>163</v>
      </c>
      <c r="AL16" s="146" t="s">
        <v>164</v>
      </c>
      <c r="AM16" s="146" t="s">
        <v>88</v>
      </c>
      <c r="AN16" s="146" t="s">
        <v>89</v>
      </c>
      <c r="AO16" s="146" t="s">
        <v>90</v>
      </c>
      <c r="AP16" s="146" t="s">
        <v>165</v>
      </c>
      <c r="AQ16" s="146" t="s">
        <v>166</v>
      </c>
    </row>
    <row r="17" spans="1:22" ht="71.25">
      <c r="A17" s="706" t="s">
        <v>296</v>
      </c>
      <c r="B17" s="135" t="s">
        <v>297</v>
      </c>
      <c r="C17" s="135" t="s">
        <v>298</v>
      </c>
      <c r="D17" s="70" t="s">
        <v>299</v>
      </c>
      <c r="E17" s="36" t="s">
        <v>188</v>
      </c>
      <c r="F17" s="70" t="s">
        <v>300</v>
      </c>
      <c r="G17" s="36">
        <v>99</v>
      </c>
      <c r="H17" s="74">
        <v>4100</v>
      </c>
      <c r="I17" s="147">
        <v>0</v>
      </c>
      <c r="J17" s="147">
        <v>0</v>
      </c>
      <c r="K17" s="147">
        <v>0</v>
      </c>
      <c r="L17" s="148">
        <f>+$H$17*11</f>
        <v>45100</v>
      </c>
      <c r="M17" s="148">
        <f t="shared" ref="M17:T17" si="0">+$H$17*11</f>
        <v>45100</v>
      </c>
      <c r="N17" s="148">
        <f t="shared" si="0"/>
        <v>45100</v>
      </c>
      <c r="O17" s="148">
        <f t="shared" si="0"/>
        <v>45100</v>
      </c>
      <c r="P17" s="148">
        <f t="shared" si="0"/>
        <v>45100</v>
      </c>
      <c r="Q17" s="148">
        <f t="shared" si="0"/>
        <v>45100</v>
      </c>
      <c r="R17" s="148">
        <f t="shared" si="0"/>
        <v>45100</v>
      </c>
      <c r="S17" s="148">
        <f t="shared" si="0"/>
        <v>45100</v>
      </c>
      <c r="T17" s="148">
        <f t="shared" si="0"/>
        <v>45100</v>
      </c>
      <c r="U17" s="35">
        <f>H17*G17</f>
        <v>405900</v>
      </c>
      <c r="V17" s="70"/>
    </row>
    <row r="18" spans="1:22" ht="71.25">
      <c r="A18" s="716"/>
      <c r="B18" s="135" t="s">
        <v>301</v>
      </c>
      <c r="C18" s="135" t="s">
        <v>298</v>
      </c>
      <c r="D18" s="135" t="s">
        <v>302</v>
      </c>
      <c r="E18" s="55" t="s">
        <v>188</v>
      </c>
      <c r="F18" s="70" t="s">
        <v>300</v>
      </c>
      <c r="G18" s="36">
        <v>360</v>
      </c>
      <c r="H18" s="74">
        <v>300</v>
      </c>
      <c r="I18" s="147">
        <v>0</v>
      </c>
      <c r="J18" s="147">
        <v>0</v>
      </c>
      <c r="K18" s="147">
        <v>0</v>
      </c>
      <c r="L18" s="148">
        <f>40*$H18</f>
        <v>12000</v>
      </c>
      <c r="M18" s="148">
        <f t="shared" ref="M18:T18" si="1">40*$H18</f>
        <v>12000</v>
      </c>
      <c r="N18" s="148">
        <f t="shared" si="1"/>
        <v>12000</v>
      </c>
      <c r="O18" s="148">
        <f t="shared" si="1"/>
        <v>12000</v>
      </c>
      <c r="P18" s="148">
        <f t="shared" si="1"/>
        <v>12000</v>
      </c>
      <c r="Q18" s="148">
        <f t="shared" si="1"/>
        <v>12000</v>
      </c>
      <c r="R18" s="148">
        <f t="shared" si="1"/>
        <v>12000</v>
      </c>
      <c r="S18" s="148">
        <f t="shared" si="1"/>
        <v>12000</v>
      </c>
      <c r="T18" s="148">
        <f t="shared" si="1"/>
        <v>12000</v>
      </c>
      <c r="U18" s="35">
        <f>H18*G18</f>
        <v>108000</v>
      </c>
      <c r="V18" s="70"/>
    </row>
    <row r="19" spans="1:22" ht="15.75">
      <c r="A19" s="727" t="s">
        <v>303</v>
      </c>
      <c r="B19" s="728"/>
      <c r="C19" s="728"/>
      <c r="D19" s="728"/>
      <c r="E19" s="728"/>
      <c r="F19" s="728"/>
      <c r="G19" s="728"/>
      <c r="H19" s="729"/>
      <c r="I19" s="100">
        <v>0</v>
      </c>
      <c r="J19" s="100">
        <v>0</v>
      </c>
      <c r="K19" s="100">
        <v>0</v>
      </c>
      <c r="L19" s="149">
        <f t="shared" ref="L19:U19" si="2">SUM(L17:L18)</f>
        <v>57100</v>
      </c>
      <c r="M19" s="149">
        <f t="shared" si="2"/>
        <v>57100</v>
      </c>
      <c r="N19" s="149">
        <f t="shared" si="2"/>
        <v>57100</v>
      </c>
      <c r="O19" s="149">
        <f t="shared" si="2"/>
        <v>57100</v>
      </c>
      <c r="P19" s="149">
        <f t="shared" si="2"/>
        <v>57100</v>
      </c>
      <c r="Q19" s="149">
        <f t="shared" si="2"/>
        <v>57100</v>
      </c>
      <c r="R19" s="149">
        <f t="shared" si="2"/>
        <v>57100</v>
      </c>
      <c r="S19" s="149">
        <f t="shared" si="2"/>
        <v>57100</v>
      </c>
      <c r="T19" s="149">
        <f t="shared" si="2"/>
        <v>57100</v>
      </c>
      <c r="U19" s="77">
        <f t="shared" si="2"/>
        <v>513900</v>
      </c>
      <c r="V19" s="150"/>
    </row>
  </sheetData>
  <mergeCells count="21">
    <mergeCell ref="R15:T15"/>
    <mergeCell ref="U15:U16"/>
    <mergeCell ref="V15:V16"/>
    <mergeCell ref="A17:A18"/>
    <mergeCell ref="A19:H19"/>
    <mergeCell ref="F15:F16"/>
    <mergeCell ref="G15:G16"/>
    <mergeCell ref="H15:H16"/>
    <mergeCell ref="I15:K15"/>
    <mergeCell ref="L15:N15"/>
    <mergeCell ref="O15:Q15"/>
    <mergeCell ref="A15:A16"/>
    <mergeCell ref="B15:B16"/>
    <mergeCell ref="C15:C16"/>
    <mergeCell ref="D15:D16"/>
    <mergeCell ref="E15:E16"/>
    <mergeCell ref="A8:V8"/>
    <mergeCell ref="A9:V9"/>
    <mergeCell ref="A10:V10"/>
    <mergeCell ref="B11:V11"/>
    <mergeCell ref="B12:V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42CAB-D65C-4ED1-881B-36BC649F357E}">
  <dimension ref="A1:W26"/>
  <sheetViews>
    <sheetView showGridLines="0" topLeftCell="A13" workbookViewId="0">
      <selection activeCell="H21" sqref="H21:R21"/>
    </sheetView>
  </sheetViews>
  <sheetFormatPr defaultColWidth="8.85546875" defaultRowHeight="14.25"/>
  <cols>
    <col min="1" max="1" width="43.5703125" style="64" customWidth="1"/>
    <col min="2" max="2" width="33.7109375" style="64" customWidth="1"/>
    <col min="3" max="3" width="21.85546875" style="64" bestFit="1" customWidth="1"/>
    <col min="4" max="4" width="17.7109375" style="64" bestFit="1" customWidth="1"/>
    <col min="5" max="5" width="13" style="64" customWidth="1"/>
    <col min="6" max="6" width="31.28515625" style="64" customWidth="1"/>
    <col min="7" max="7" width="8.85546875" style="64"/>
    <col min="8" max="8" width="9.7109375" style="64" customWidth="1"/>
    <col min="9" max="13" width="8.85546875" style="64"/>
    <col min="14" max="14" width="9.5703125" style="64" customWidth="1"/>
    <col min="15" max="15" width="13.85546875" style="64" customWidth="1"/>
    <col min="16" max="16" width="10.85546875" style="64" customWidth="1"/>
    <col min="17" max="17" width="14.5703125" style="64" customWidth="1"/>
    <col min="18" max="18" width="12.42578125" style="64" customWidth="1"/>
    <col min="19" max="19" width="20.85546875" style="64" customWidth="1"/>
    <col min="20" max="20" width="27.5703125" style="64" customWidth="1"/>
    <col min="21" max="16384" width="8.85546875" style="27"/>
  </cols>
  <sheetData>
    <row r="1" spans="1:23">
      <c r="A1" s="27"/>
      <c r="B1" s="27"/>
      <c r="C1" s="27"/>
      <c r="D1" s="27"/>
      <c r="F1" s="27"/>
      <c r="G1" s="27"/>
      <c r="H1" s="27"/>
      <c r="I1" s="27"/>
      <c r="J1" s="27"/>
      <c r="K1" s="27"/>
      <c r="L1" s="27"/>
      <c r="M1" s="27"/>
      <c r="N1" s="27"/>
      <c r="O1" s="27"/>
      <c r="P1" s="27"/>
      <c r="Q1" s="27"/>
      <c r="R1" s="27"/>
      <c r="S1" s="27"/>
      <c r="T1" s="27"/>
    </row>
    <row r="2" spans="1:23">
      <c r="A2" s="27"/>
      <c r="B2" s="27"/>
      <c r="C2" s="27"/>
      <c r="D2" s="27"/>
      <c r="F2" s="27"/>
      <c r="G2" s="27"/>
      <c r="H2" s="27"/>
      <c r="I2" s="27"/>
      <c r="J2" s="27"/>
      <c r="K2" s="27"/>
      <c r="L2" s="27"/>
      <c r="M2" s="27"/>
      <c r="N2" s="27"/>
      <c r="O2" s="27"/>
      <c r="P2" s="27"/>
      <c r="Q2" s="27"/>
      <c r="R2" s="27"/>
      <c r="S2" s="27"/>
      <c r="T2" s="27"/>
    </row>
    <row r="3" spans="1:23">
      <c r="A3" s="27"/>
      <c r="B3" s="27"/>
      <c r="C3" s="27"/>
      <c r="D3" s="27"/>
      <c r="F3" s="27"/>
      <c r="G3" s="27"/>
      <c r="H3" s="27"/>
      <c r="I3" s="27"/>
      <c r="J3" s="27"/>
      <c r="K3" s="27"/>
      <c r="L3" s="27"/>
      <c r="M3" s="27"/>
      <c r="N3" s="27"/>
      <c r="O3" s="27"/>
      <c r="P3" s="27"/>
      <c r="Q3" s="27"/>
      <c r="R3" s="27"/>
      <c r="S3" s="27"/>
      <c r="T3" s="27"/>
    </row>
    <row r="4" spans="1:23">
      <c r="A4" s="27"/>
      <c r="B4" s="27"/>
      <c r="C4" s="27"/>
      <c r="D4" s="27"/>
      <c r="F4" s="27"/>
      <c r="G4" s="27"/>
      <c r="H4" s="27"/>
      <c r="I4" s="27"/>
      <c r="J4" s="27"/>
      <c r="K4" s="27"/>
      <c r="L4" s="27"/>
      <c r="M4" s="27"/>
      <c r="N4" s="27"/>
      <c r="O4" s="27"/>
      <c r="P4" s="27"/>
      <c r="Q4" s="27"/>
      <c r="R4" s="27"/>
      <c r="S4" s="27"/>
      <c r="T4" s="27"/>
    </row>
    <row r="5" spans="1:23">
      <c r="A5" s="27"/>
      <c r="B5" s="27"/>
      <c r="C5" s="27"/>
      <c r="D5" s="27"/>
      <c r="F5" s="27"/>
      <c r="G5" s="27"/>
      <c r="H5" s="27"/>
      <c r="I5" s="27"/>
      <c r="J5" s="27"/>
      <c r="K5" s="27"/>
      <c r="L5" s="27"/>
      <c r="M5" s="27"/>
      <c r="N5" s="27"/>
      <c r="O5" s="27"/>
      <c r="P5" s="27"/>
      <c r="Q5" s="27"/>
      <c r="R5" s="27"/>
      <c r="S5" s="27"/>
      <c r="T5" s="27"/>
    </row>
    <row r="6" spans="1:23">
      <c r="A6" s="27"/>
      <c r="B6" s="27"/>
      <c r="C6" s="27"/>
      <c r="D6" s="27"/>
      <c r="F6" s="27"/>
      <c r="G6" s="27"/>
      <c r="H6" s="27"/>
      <c r="I6" s="27"/>
      <c r="J6" s="27"/>
      <c r="K6" s="27"/>
      <c r="L6" s="27"/>
      <c r="M6" s="27"/>
      <c r="N6" s="27"/>
      <c r="O6" s="27"/>
      <c r="P6" s="27"/>
      <c r="Q6" s="27"/>
      <c r="R6" s="27"/>
      <c r="S6" s="27"/>
      <c r="T6" s="27"/>
    </row>
    <row r="7" spans="1:23" ht="20.25">
      <c r="A7" s="698" t="s">
        <v>60</v>
      </c>
      <c r="B7" s="698"/>
      <c r="C7" s="698"/>
      <c r="D7" s="698"/>
      <c r="E7" s="698"/>
      <c r="F7" s="698"/>
      <c r="G7" s="698"/>
      <c r="H7" s="698"/>
      <c r="I7" s="698"/>
      <c r="J7" s="698"/>
      <c r="K7" s="698"/>
      <c r="L7" s="698"/>
      <c r="M7" s="698"/>
      <c r="N7" s="698"/>
      <c r="O7" s="698"/>
      <c r="P7" s="698"/>
      <c r="Q7" s="698"/>
      <c r="R7" s="698"/>
      <c r="S7" s="698"/>
      <c r="T7" s="698"/>
      <c r="U7" s="155"/>
      <c r="V7" s="155"/>
      <c r="W7" s="155"/>
    </row>
    <row r="8" spans="1:23" ht="20.25">
      <c r="A8" s="698" t="s">
        <v>61</v>
      </c>
      <c r="B8" s="698"/>
      <c r="C8" s="698"/>
      <c r="D8" s="698"/>
      <c r="E8" s="698"/>
      <c r="F8" s="698"/>
      <c r="G8" s="698"/>
      <c r="H8" s="698"/>
      <c r="I8" s="698"/>
      <c r="J8" s="698"/>
      <c r="K8" s="698"/>
      <c r="L8" s="698"/>
      <c r="M8" s="698"/>
      <c r="N8" s="698"/>
      <c r="O8" s="698"/>
      <c r="P8" s="698"/>
      <c r="Q8" s="698"/>
      <c r="R8" s="698"/>
      <c r="S8" s="698"/>
      <c r="T8" s="698"/>
      <c r="U8" s="155"/>
      <c r="V8" s="155"/>
    </row>
    <row r="9" spans="1:23" ht="20.25">
      <c r="A9" s="27"/>
      <c r="D9" s="27"/>
      <c r="E9" s="49"/>
      <c r="F9" s="49"/>
      <c r="G9" s="48"/>
      <c r="H9" s="49"/>
      <c r="I9" s="49"/>
      <c r="J9" s="49"/>
      <c r="K9" s="49"/>
      <c r="L9" s="49"/>
      <c r="M9" s="49"/>
      <c r="N9" s="49"/>
      <c r="O9" s="49"/>
      <c r="P9" s="49"/>
      <c r="Q9" s="49"/>
      <c r="R9" s="49"/>
      <c r="S9" s="49"/>
      <c r="T9" s="49"/>
      <c r="U9" s="49"/>
      <c r="V9" s="49"/>
    </row>
    <row r="10" spans="1:23" ht="20.25">
      <c r="A10" s="156" t="s">
        <v>62</v>
      </c>
      <c r="B10" s="700" t="s">
        <v>305</v>
      </c>
      <c r="C10" s="701"/>
      <c r="D10" s="701"/>
      <c r="E10" s="701"/>
      <c r="F10" s="701"/>
      <c r="G10" s="701"/>
      <c r="H10" s="701"/>
      <c r="I10" s="701"/>
      <c r="J10" s="701"/>
      <c r="K10" s="701"/>
      <c r="L10" s="701"/>
      <c r="M10" s="701"/>
      <c r="N10" s="701"/>
      <c r="O10" s="701"/>
      <c r="P10" s="701"/>
      <c r="Q10" s="701"/>
      <c r="R10" s="701"/>
      <c r="S10" s="701"/>
      <c r="T10" s="702"/>
    </row>
    <row r="11" spans="1:23" ht="20.25">
      <c r="A11" s="156" t="s">
        <v>63</v>
      </c>
      <c r="B11" s="700" t="s">
        <v>306</v>
      </c>
      <c r="C11" s="701"/>
      <c r="D11" s="701"/>
      <c r="E11" s="701"/>
      <c r="F11" s="701"/>
      <c r="G11" s="701"/>
      <c r="H11" s="701"/>
      <c r="I11" s="701"/>
      <c r="J11" s="701"/>
      <c r="K11" s="701"/>
      <c r="L11" s="701"/>
      <c r="M11" s="701"/>
      <c r="N11" s="701"/>
      <c r="O11" s="701"/>
      <c r="P11" s="701"/>
      <c r="Q11" s="701"/>
      <c r="R11" s="701"/>
      <c r="S11" s="701"/>
      <c r="T11" s="702"/>
    </row>
    <row r="12" spans="1:23" ht="20.25">
      <c r="A12" s="156" t="s">
        <v>65</v>
      </c>
      <c r="B12" s="700" t="s">
        <v>307</v>
      </c>
      <c r="C12" s="701"/>
      <c r="D12" s="701"/>
      <c r="E12" s="701"/>
      <c r="F12" s="701"/>
      <c r="G12" s="701"/>
      <c r="H12" s="701"/>
      <c r="I12" s="701"/>
      <c r="J12" s="701"/>
      <c r="K12" s="701"/>
      <c r="L12" s="701"/>
      <c r="M12" s="701"/>
      <c r="N12" s="701"/>
      <c r="O12" s="701"/>
      <c r="P12" s="701"/>
      <c r="Q12" s="701"/>
      <c r="R12" s="701"/>
      <c r="S12" s="701"/>
      <c r="T12" s="702"/>
    </row>
    <row r="14" spans="1:23" ht="15">
      <c r="A14" s="708" t="s">
        <v>66</v>
      </c>
      <c r="B14" s="708" t="s">
        <v>67</v>
      </c>
      <c r="C14" s="708" t="s">
        <v>68</v>
      </c>
      <c r="D14" s="730" t="s">
        <v>69</v>
      </c>
      <c r="E14" s="731"/>
      <c r="F14" s="714" t="s">
        <v>70</v>
      </c>
      <c r="G14" s="742" t="s">
        <v>71</v>
      </c>
      <c r="H14" s="743"/>
      <c r="I14" s="744"/>
      <c r="J14" s="742" t="s">
        <v>72</v>
      </c>
      <c r="K14" s="743"/>
      <c r="L14" s="744"/>
      <c r="M14" s="742" t="s">
        <v>73</v>
      </c>
      <c r="N14" s="743"/>
      <c r="O14" s="744"/>
      <c r="P14" s="742" t="s">
        <v>74</v>
      </c>
      <c r="Q14" s="743"/>
      <c r="R14" s="744"/>
      <c r="S14" s="714" t="s">
        <v>75</v>
      </c>
      <c r="T14" s="714" t="s">
        <v>76</v>
      </c>
    </row>
    <row r="15" spans="1:23" ht="30">
      <c r="A15" s="709"/>
      <c r="B15" s="709"/>
      <c r="C15" s="709"/>
      <c r="D15" s="51" t="s">
        <v>77</v>
      </c>
      <c r="E15" s="51" t="s">
        <v>78</v>
      </c>
      <c r="F15" s="715"/>
      <c r="G15" s="51" t="s">
        <v>79</v>
      </c>
      <c r="H15" s="51" t="s">
        <v>80</v>
      </c>
      <c r="I15" s="51" t="s">
        <v>81</v>
      </c>
      <c r="J15" s="51" t="s">
        <v>82</v>
      </c>
      <c r="K15" s="51" t="s">
        <v>83</v>
      </c>
      <c r="L15" s="51" t="s">
        <v>84</v>
      </c>
      <c r="M15" s="51" t="s">
        <v>85</v>
      </c>
      <c r="N15" s="51" t="s">
        <v>86</v>
      </c>
      <c r="O15" s="51" t="s">
        <v>87</v>
      </c>
      <c r="P15" s="51" t="s">
        <v>88</v>
      </c>
      <c r="Q15" s="51" t="s">
        <v>89</v>
      </c>
      <c r="R15" s="51" t="s">
        <v>90</v>
      </c>
      <c r="S15" s="715"/>
      <c r="T15" s="715"/>
    </row>
    <row r="16" spans="1:23" ht="99.75">
      <c r="A16" s="732" t="s">
        <v>308</v>
      </c>
      <c r="B16" s="157" t="s">
        <v>309</v>
      </c>
      <c r="C16" s="158" t="s">
        <v>310</v>
      </c>
      <c r="D16" s="159" t="s">
        <v>311</v>
      </c>
      <c r="E16" s="160">
        <v>32</v>
      </c>
      <c r="F16" s="158" t="s">
        <v>312</v>
      </c>
      <c r="G16" s="159">
        <v>32</v>
      </c>
      <c r="H16" s="159"/>
      <c r="I16" s="159"/>
      <c r="J16" s="159"/>
      <c r="K16" s="159"/>
      <c r="L16" s="159"/>
      <c r="M16" s="159"/>
      <c r="N16" s="159"/>
      <c r="O16" s="159"/>
      <c r="P16" s="159"/>
      <c r="Q16" s="159"/>
      <c r="R16" s="159"/>
      <c r="S16" s="735">
        <f>'4- Presupuesto Cartografía'!U17+'4- Presupuesto Cartografía'!U18+'4- Presupuesto Cartografía'!U19+'4- Presupuesto Cartografía'!U20+'4- Presupuesto Cartografía'!U21+'4- Presupuesto Cartografía'!U22</f>
        <v>1967893.76</v>
      </c>
      <c r="T16" s="158" t="s">
        <v>313</v>
      </c>
    </row>
    <row r="17" spans="1:20" ht="57">
      <c r="A17" s="733"/>
      <c r="B17" s="157" t="s">
        <v>314</v>
      </c>
      <c r="C17" s="158" t="s">
        <v>315</v>
      </c>
      <c r="D17" s="159" t="s">
        <v>316</v>
      </c>
      <c r="E17" s="161">
        <v>14400</v>
      </c>
      <c r="F17" s="158" t="s">
        <v>317</v>
      </c>
      <c r="G17" s="161">
        <v>1800</v>
      </c>
      <c r="H17" s="161">
        <v>1800</v>
      </c>
      <c r="I17" s="161"/>
      <c r="J17" s="161">
        <v>1800</v>
      </c>
      <c r="K17" s="161">
        <v>1800</v>
      </c>
      <c r="L17" s="159"/>
      <c r="M17" s="161">
        <v>1800</v>
      </c>
      <c r="N17" s="161">
        <v>1800</v>
      </c>
      <c r="O17" s="161"/>
      <c r="P17" s="161">
        <v>1800</v>
      </c>
      <c r="Q17" s="161">
        <v>1800</v>
      </c>
      <c r="R17" s="161"/>
      <c r="S17" s="736"/>
      <c r="T17" s="158" t="s">
        <v>318</v>
      </c>
    </row>
    <row r="18" spans="1:20" ht="57">
      <c r="A18" s="734"/>
      <c r="B18" s="157" t="s">
        <v>319</v>
      </c>
      <c r="C18" s="158" t="s">
        <v>320</v>
      </c>
      <c r="D18" s="159" t="s">
        <v>316</v>
      </c>
      <c r="E18" s="161">
        <v>14400</v>
      </c>
      <c r="F18" s="158" t="s">
        <v>321</v>
      </c>
      <c r="G18" s="161"/>
      <c r="H18" s="161"/>
      <c r="I18" s="161"/>
      <c r="J18" s="161"/>
      <c r="K18" s="161"/>
      <c r="L18" s="161">
        <v>3600</v>
      </c>
      <c r="M18" s="161">
        <v>3600</v>
      </c>
      <c r="N18" s="161"/>
      <c r="O18" s="161">
        <v>3600</v>
      </c>
      <c r="P18" s="161"/>
      <c r="Q18" s="161"/>
      <c r="R18" s="161">
        <v>3600</v>
      </c>
      <c r="S18" s="737"/>
      <c r="T18" s="157" t="s">
        <v>322</v>
      </c>
    </row>
    <row r="19" spans="1:20" ht="57">
      <c r="A19" s="738" t="s">
        <v>323</v>
      </c>
      <c r="B19" s="162" t="s">
        <v>324</v>
      </c>
      <c r="C19" s="162" t="s">
        <v>325</v>
      </c>
      <c r="D19" s="163" t="s">
        <v>78</v>
      </c>
      <c r="E19" s="164">
        <v>2600</v>
      </c>
      <c r="F19" s="162" t="s">
        <v>326</v>
      </c>
      <c r="G19" s="163"/>
      <c r="H19" s="163"/>
      <c r="I19" s="163">
        <v>650</v>
      </c>
      <c r="J19" s="163"/>
      <c r="K19" s="163"/>
      <c r="L19" s="163">
        <v>650</v>
      </c>
      <c r="M19" s="163"/>
      <c r="N19" s="163"/>
      <c r="O19" s="163">
        <v>650</v>
      </c>
      <c r="P19" s="163"/>
      <c r="Q19" s="163"/>
      <c r="R19" s="163">
        <v>650</v>
      </c>
      <c r="S19" s="740">
        <f>'4- Presupuesto Cartografía'!U23+'4- Presupuesto Cartografía'!U24+'4- Presupuesto Cartografía'!U25+'4- Presupuesto Cartografía'!U26+'4- Presupuesto Cartografía'!U27+'4- Presupuesto Cartografía'!U28+'4- Presupuesto Cartografía'!U29+'4- Presupuesto Cartografía'!U30+'4- Presupuesto Cartografía'!U31+'4- Presupuesto Cartografía'!U32+'4- Presupuesto Cartografía'!U33+'4- Presupuesto Cartografía'!U34+'4- Presupuesto Cartografía'!U35+'4- Presupuesto Cartografía'!U36+'4- Presupuesto Cartografía'!U37+'4- Presupuesto Cartografía'!U38+'4- Presupuesto Cartografía'!U39+'4- Presupuesto Cartografía'!U40+'4- Presupuesto Cartografía'!U41+'4- Presupuesto Cartografía'!U42+'4- Presupuesto Cartografía'!U43+'4- Presupuesto Cartografía'!U44+'4- Presupuesto Cartografía'!U45+'4- Presupuesto Cartografía'!U46+'4- Presupuesto Cartografía'!U47+'4- Presupuesto Cartografía'!U48</f>
        <v>239550</v>
      </c>
      <c r="T19" s="163" t="s">
        <v>327</v>
      </c>
    </row>
    <row r="20" spans="1:20" ht="71.25">
      <c r="A20" s="739"/>
      <c r="B20" s="162" t="s">
        <v>328</v>
      </c>
      <c r="C20" s="165" t="s">
        <v>329</v>
      </c>
      <c r="D20" s="163" t="s">
        <v>101</v>
      </c>
      <c r="E20" s="163">
        <v>8</v>
      </c>
      <c r="F20" s="162" t="s">
        <v>330</v>
      </c>
      <c r="G20" s="166"/>
      <c r="H20" s="166"/>
      <c r="I20" s="166"/>
      <c r="J20" s="166"/>
      <c r="K20" s="166"/>
      <c r="L20" s="166">
        <v>8</v>
      </c>
      <c r="M20" s="166"/>
      <c r="N20" s="166"/>
      <c r="O20" s="166"/>
      <c r="P20" s="163"/>
      <c r="Q20" s="163"/>
      <c r="R20" s="163"/>
      <c r="S20" s="741"/>
      <c r="T20" s="163" t="s">
        <v>331</v>
      </c>
    </row>
    <row r="21" spans="1:20" ht="42.75">
      <c r="A21" s="158" t="s">
        <v>332</v>
      </c>
      <c r="B21" s="167" t="s">
        <v>333</v>
      </c>
      <c r="C21" s="158" t="s">
        <v>334</v>
      </c>
      <c r="D21" s="159" t="s">
        <v>78</v>
      </c>
      <c r="E21" s="159">
        <v>32</v>
      </c>
      <c r="F21" s="167" t="s">
        <v>335</v>
      </c>
      <c r="G21" s="159"/>
      <c r="H21" s="159">
        <v>4</v>
      </c>
      <c r="I21" s="159">
        <v>5</v>
      </c>
      <c r="J21" s="159">
        <v>5</v>
      </c>
      <c r="K21" s="159">
        <v>4</v>
      </c>
      <c r="L21" s="159">
        <v>4</v>
      </c>
      <c r="M21" s="159">
        <v>5</v>
      </c>
      <c r="N21" s="159">
        <v>5</v>
      </c>
      <c r="O21" s="159">
        <v>5</v>
      </c>
      <c r="P21" s="159">
        <v>4</v>
      </c>
      <c r="Q21" s="159">
        <v>5</v>
      </c>
      <c r="R21" s="159">
        <v>2</v>
      </c>
      <c r="S21" s="213">
        <f>'4- Presupuesto Cartografía'!U49</f>
        <v>0</v>
      </c>
      <c r="T21" s="159" t="s">
        <v>336</v>
      </c>
    </row>
    <row r="22" spans="1:20">
      <c r="A22" s="169"/>
      <c r="B22" s="169"/>
      <c r="C22" s="169"/>
      <c r="D22" s="169"/>
      <c r="E22" s="169"/>
      <c r="F22" s="169"/>
      <c r="G22" s="169"/>
      <c r="H22" s="169"/>
      <c r="I22" s="169"/>
      <c r="J22" s="169"/>
      <c r="K22" s="169"/>
      <c r="L22" s="169"/>
      <c r="M22" s="169"/>
      <c r="N22" s="169"/>
      <c r="O22" s="169"/>
      <c r="P22" s="169"/>
      <c r="Q22" s="169"/>
      <c r="R22" s="169"/>
      <c r="S22" s="169"/>
      <c r="T22" s="169"/>
    </row>
    <row r="25" spans="1:20">
      <c r="A25" s="27"/>
      <c r="B25" s="27"/>
      <c r="D25" s="27"/>
      <c r="E25" s="27"/>
      <c r="F25" s="27"/>
      <c r="G25" s="27"/>
      <c r="H25" s="27"/>
      <c r="I25" s="27"/>
      <c r="J25" s="27"/>
      <c r="K25" s="27"/>
      <c r="L25" s="27"/>
      <c r="M25" s="27"/>
      <c r="N25" s="27"/>
      <c r="O25" s="27"/>
      <c r="P25" s="27"/>
      <c r="Q25" s="27"/>
      <c r="R25" s="27"/>
      <c r="S25" s="27"/>
      <c r="T25" s="27"/>
    </row>
    <row r="26" spans="1:20">
      <c r="B26" s="27"/>
      <c r="D26" s="27"/>
      <c r="E26" s="27"/>
      <c r="G26" s="27"/>
      <c r="H26" s="27"/>
      <c r="I26" s="27"/>
      <c r="J26" s="27"/>
      <c r="K26" s="27"/>
      <c r="L26" s="27"/>
      <c r="M26" s="27"/>
      <c r="N26" s="27"/>
      <c r="O26" s="27"/>
      <c r="P26" s="27"/>
      <c r="Q26" s="27"/>
      <c r="R26" s="27"/>
      <c r="S26" s="27"/>
      <c r="T26" s="27"/>
    </row>
  </sheetData>
  <mergeCells count="20">
    <mergeCell ref="A16:A18"/>
    <mergeCell ref="S16:S18"/>
    <mergeCell ref="A19:A20"/>
    <mergeCell ref="S19:S20"/>
    <mergeCell ref="G14:I14"/>
    <mergeCell ref="J14:L14"/>
    <mergeCell ref="M14:O14"/>
    <mergeCell ref="P14:R14"/>
    <mergeCell ref="S14:S15"/>
    <mergeCell ref="T14:T15"/>
    <mergeCell ref="A7:T7"/>
    <mergeCell ref="A8:T8"/>
    <mergeCell ref="B10:T10"/>
    <mergeCell ref="B11:T11"/>
    <mergeCell ref="B12:T12"/>
    <mergeCell ref="A14:A15"/>
    <mergeCell ref="B14:B15"/>
    <mergeCell ref="C14:C15"/>
    <mergeCell ref="D14:E14"/>
    <mergeCell ref="F14:F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AE1D5-01AA-46E7-BD09-CAFAF457B851}">
  <dimension ref="A8:AR54"/>
  <sheetViews>
    <sheetView showGridLines="0" zoomScaleNormal="100" workbookViewId="0">
      <selection activeCell="A15" sqref="A15:A16"/>
    </sheetView>
  </sheetViews>
  <sheetFormatPr defaultColWidth="11.42578125" defaultRowHeight="14.25"/>
  <cols>
    <col min="1" max="1" width="33.140625" style="27" bestFit="1" customWidth="1"/>
    <col min="2" max="2" width="46.42578125" style="27" customWidth="1"/>
    <col min="3" max="3" width="19.85546875" style="27" customWidth="1"/>
    <col min="4" max="4" width="31.28515625" style="27" bestFit="1" customWidth="1"/>
    <col min="5" max="5" width="11.85546875" style="47" bestFit="1" customWidth="1"/>
    <col min="6" max="6" width="13.7109375" style="27" customWidth="1"/>
    <col min="7" max="7" width="14.42578125" style="27" customWidth="1"/>
    <col min="8" max="8" width="20" style="78" customWidth="1"/>
    <col min="9" max="9" width="7.7109375" style="27" bestFit="1" customWidth="1"/>
    <col min="10" max="10" width="15.5703125" style="27" bestFit="1" customWidth="1"/>
    <col min="11" max="11" width="16.140625" style="27" bestFit="1" customWidth="1"/>
    <col min="12" max="12" width="16.7109375" style="27" bestFit="1" customWidth="1"/>
    <col min="13" max="13" width="15.42578125" style="27" bestFit="1" customWidth="1"/>
    <col min="14" max="14" width="17.5703125" style="27" bestFit="1" customWidth="1"/>
    <col min="15" max="15" width="15.42578125" style="27" bestFit="1" customWidth="1"/>
    <col min="16" max="16" width="18" style="27" customWidth="1"/>
    <col min="17" max="17" width="17.140625" style="27" bestFit="1" customWidth="1"/>
    <col min="18" max="18" width="16.7109375" style="27" bestFit="1" customWidth="1"/>
    <col min="19" max="19" width="20.140625" style="27" customWidth="1"/>
    <col min="20" max="20" width="14.140625" style="27" bestFit="1" customWidth="1"/>
    <col min="21" max="21" width="22.7109375" style="27" bestFit="1" customWidth="1"/>
    <col min="22" max="22" width="23.28515625" style="64" customWidth="1"/>
    <col min="23" max="23" width="16.28515625" style="66" bestFit="1" customWidth="1"/>
    <col min="24" max="24" width="5" style="66" customWidth="1"/>
    <col min="25" max="25" width="3.42578125" style="66" customWidth="1"/>
    <col min="26" max="26" width="8.7109375" style="66" customWidth="1"/>
    <col min="27" max="44" width="11.42578125" style="66"/>
    <col min="45" max="16384" width="11.42578125" style="27"/>
  </cols>
  <sheetData>
    <row r="8" spans="1:44" ht="15">
      <c r="A8" s="745" t="s">
        <v>60</v>
      </c>
      <c r="B8" s="745"/>
      <c r="C8" s="745"/>
      <c r="D8" s="745"/>
      <c r="E8" s="745"/>
      <c r="F8" s="745"/>
      <c r="G8" s="745"/>
      <c r="H8" s="745"/>
      <c r="I8" s="745"/>
      <c r="J8" s="745"/>
      <c r="K8" s="745"/>
      <c r="L8" s="745"/>
      <c r="M8" s="745"/>
      <c r="N8" s="745"/>
      <c r="O8" s="745"/>
      <c r="P8" s="745"/>
      <c r="Q8" s="745"/>
      <c r="R8" s="745"/>
      <c r="S8" s="745"/>
      <c r="T8" s="745"/>
      <c r="U8" s="745"/>
      <c r="V8" s="745"/>
    </row>
    <row r="9" spans="1:44" ht="15">
      <c r="A9" s="745" t="s">
        <v>61</v>
      </c>
      <c r="B9" s="745"/>
      <c r="C9" s="745"/>
      <c r="D9" s="745"/>
      <c r="E9" s="745"/>
      <c r="F9" s="745"/>
      <c r="G9" s="745"/>
      <c r="H9" s="745"/>
      <c r="I9" s="745"/>
      <c r="J9" s="745"/>
      <c r="K9" s="745"/>
      <c r="L9" s="745"/>
      <c r="M9" s="745"/>
      <c r="N9" s="745"/>
      <c r="O9" s="745"/>
      <c r="P9" s="745"/>
      <c r="Q9" s="745"/>
      <c r="R9" s="745"/>
      <c r="S9" s="745"/>
      <c r="T9" s="745"/>
      <c r="U9" s="745"/>
      <c r="V9" s="745"/>
    </row>
    <row r="10" spans="1:44" ht="15">
      <c r="A10" s="745" t="s">
        <v>137</v>
      </c>
      <c r="B10" s="745"/>
      <c r="C10" s="745"/>
      <c r="D10" s="745"/>
      <c r="E10" s="745"/>
      <c r="F10" s="745"/>
      <c r="G10" s="745"/>
      <c r="H10" s="745"/>
      <c r="I10" s="745"/>
      <c r="J10" s="745"/>
      <c r="K10" s="745"/>
      <c r="L10" s="745"/>
      <c r="M10" s="745"/>
      <c r="N10" s="745"/>
      <c r="O10" s="745"/>
      <c r="P10" s="745"/>
      <c r="Q10" s="745"/>
      <c r="R10" s="745"/>
      <c r="S10" s="745"/>
      <c r="T10" s="745"/>
      <c r="U10" s="745"/>
      <c r="V10" s="745"/>
    </row>
    <row r="11" spans="1:44" s="172" customFormat="1" ht="15.75">
      <c r="A11" s="170" t="s">
        <v>62</v>
      </c>
      <c r="B11" s="699" t="s">
        <v>305</v>
      </c>
      <c r="C11" s="699"/>
      <c r="D11" s="699"/>
      <c r="E11" s="699"/>
      <c r="F11" s="699"/>
      <c r="G11" s="699"/>
      <c r="H11" s="699"/>
      <c r="I11" s="699"/>
      <c r="J11" s="699"/>
      <c r="K11" s="699"/>
      <c r="L11" s="699"/>
      <c r="M11" s="699"/>
      <c r="N11" s="699"/>
      <c r="O11" s="699"/>
      <c r="P11" s="699"/>
      <c r="Q11" s="699"/>
      <c r="R11" s="699"/>
      <c r="S11" s="699"/>
      <c r="T11" s="699"/>
      <c r="U11" s="699"/>
      <c r="V11" s="699"/>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row>
    <row r="12" spans="1:44" s="172" customFormat="1" ht="15.75">
      <c r="A12" s="170" t="s">
        <v>63</v>
      </c>
      <c r="B12" s="699" t="s">
        <v>306</v>
      </c>
      <c r="C12" s="699"/>
      <c r="D12" s="699"/>
      <c r="E12" s="699"/>
      <c r="F12" s="699"/>
      <c r="G12" s="699"/>
      <c r="H12" s="699"/>
      <c r="I12" s="699"/>
      <c r="J12" s="699"/>
      <c r="K12" s="699"/>
      <c r="L12" s="699"/>
      <c r="M12" s="699"/>
      <c r="N12" s="699"/>
      <c r="O12" s="699"/>
      <c r="P12" s="699"/>
      <c r="Q12" s="699"/>
      <c r="R12" s="699"/>
      <c r="S12" s="699"/>
      <c r="T12" s="699"/>
      <c r="U12" s="699"/>
      <c r="V12" s="699"/>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row>
    <row r="13" spans="1:44" s="172" customFormat="1" ht="15.75">
      <c r="A13" s="170" t="s">
        <v>65</v>
      </c>
      <c r="B13" s="699" t="s">
        <v>307</v>
      </c>
      <c r="C13" s="699"/>
      <c r="D13" s="699"/>
      <c r="E13" s="699"/>
      <c r="F13" s="699"/>
      <c r="G13" s="699"/>
      <c r="H13" s="699"/>
      <c r="I13" s="699"/>
      <c r="J13" s="699"/>
      <c r="K13" s="699"/>
      <c r="L13" s="699"/>
      <c r="M13" s="699"/>
      <c r="N13" s="699"/>
      <c r="O13" s="699"/>
      <c r="P13" s="699"/>
      <c r="Q13" s="699"/>
      <c r="R13" s="699"/>
      <c r="S13" s="699"/>
      <c r="T13" s="699"/>
      <c r="U13" s="699"/>
      <c r="V13" s="699"/>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row>
    <row r="15" spans="1:44" ht="15">
      <c r="A15" s="714" t="s">
        <v>66</v>
      </c>
      <c r="B15" s="696" t="s">
        <v>70</v>
      </c>
      <c r="C15" s="714" t="s">
        <v>23</v>
      </c>
      <c r="D15" s="714" t="s">
        <v>139</v>
      </c>
      <c r="E15" s="714" t="s">
        <v>184</v>
      </c>
      <c r="F15" s="714" t="s">
        <v>141</v>
      </c>
      <c r="G15" s="714" t="s">
        <v>101</v>
      </c>
      <c r="H15" s="714" t="s">
        <v>142</v>
      </c>
      <c r="I15" s="697" t="s">
        <v>71</v>
      </c>
      <c r="J15" s="697"/>
      <c r="K15" s="697"/>
      <c r="L15" s="697" t="s">
        <v>72</v>
      </c>
      <c r="M15" s="697"/>
      <c r="N15" s="697"/>
      <c r="O15" s="697" t="s">
        <v>73</v>
      </c>
      <c r="P15" s="697"/>
      <c r="Q15" s="697"/>
      <c r="R15" s="697" t="s">
        <v>74</v>
      </c>
      <c r="S15" s="697"/>
      <c r="T15" s="697"/>
      <c r="U15" s="696" t="s">
        <v>75</v>
      </c>
      <c r="V15" s="696" t="s">
        <v>185</v>
      </c>
    </row>
    <row r="16" spans="1:44" s="53" customFormat="1" ht="24" customHeight="1">
      <c r="A16" s="715"/>
      <c r="B16" s="696"/>
      <c r="C16" s="715"/>
      <c r="D16" s="715"/>
      <c r="E16" s="715"/>
      <c r="F16" s="715"/>
      <c r="G16" s="715"/>
      <c r="H16" s="715"/>
      <c r="I16" s="173" t="s">
        <v>79</v>
      </c>
      <c r="J16" s="173" t="s">
        <v>80</v>
      </c>
      <c r="K16" s="173" t="s">
        <v>81</v>
      </c>
      <c r="L16" s="173" t="s">
        <v>82</v>
      </c>
      <c r="M16" s="173" t="s">
        <v>83</v>
      </c>
      <c r="N16" s="173" t="s">
        <v>84</v>
      </c>
      <c r="O16" s="173" t="s">
        <v>85</v>
      </c>
      <c r="P16" s="173" t="s">
        <v>86</v>
      </c>
      <c r="Q16" s="173" t="s">
        <v>87</v>
      </c>
      <c r="R16" s="173" t="s">
        <v>88</v>
      </c>
      <c r="S16" s="173" t="s">
        <v>89</v>
      </c>
      <c r="T16" s="173" t="s">
        <v>90</v>
      </c>
      <c r="U16" s="696"/>
      <c r="V16" s="696"/>
      <c r="W16" s="63"/>
      <c r="X16" s="63"/>
      <c r="Y16" s="63"/>
      <c r="Z16" s="63"/>
      <c r="AA16" s="63"/>
      <c r="AB16" s="63"/>
      <c r="AC16" s="63"/>
      <c r="AD16" s="63"/>
      <c r="AE16" s="63"/>
      <c r="AF16" s="63"/>
      <c r="AG16" s="63"/>
      <c r="AH16" s="63"/>
      <c r="AI16" s="63"/>
      <c r="AJ16" s="63"/>
      <c r="AK16" s="63"/>
      <c r="AL16" s="63"/>
      <c r="AM16" s="63"/>
      <c r="AN16" s="63"/>
      <c r="AO16" s="63"/>
      <c r="AP16" s="63"/>
      <c r="AQ16" s="63"/>
      <c r="AR16" s="63"/>
    </row>
    <row r="17" spans="1:44" s="180" customFormat="1" ht="50.25" customHeight="1">
      <c r="A17" s="749" t="s">
        <v>308</v>
      </c>
      <c r="B17" s="174" t="s">
        <v>317</v>
      </c>
      <c r="C17" s="752" t="s">
        <v>298</v>
      </c>
      <c r="D17" s="175" t="s">
        <v>302</v>
      </c>
      <c r="E17" s="175" t="s">
        <v>188</v>
      </c>
      <c r="F17" s="175" t="s">
        <v>300</v>
      </c>
      <c r="G17" s="175">
        <v>50</v>
      </c>
      <c r="H17" s="176">
        <v>300</v>
      </c>
      <c r="I17" s="177">
        <v>0</v>
      </c>
      <c r="J17" s="177">
        <v>0</v>
      </c>
      <c r="K17" s="177">
        <v>0</v>
      </c>
      <c r="L17" s="177">
        <v>0</v>
      </c>
      <c r="M17" s="177">
        <v>0</v>
      </c>
      <c r="N17" s="176">
        <v>3000</v>
      </c>
      <c r="O17" s="176">
        <v>3000</v>
      </c>
      <c r="P17" s="176">
        <v>3000</v>
      </c>
      <c r="Q17" s="177">
        <v>0</v>
      </c>
      <c r="R17" s="176">
        <v>3000</v>
      </c>
      <c r="S17" s="176">
        <v>3000</v>
      </c>
      <c r="T17" s="177">
        <v>0</v>
      </c>
      <c r="U17" s="176">
        <f>SUM(K17:T17)</f>
        <v>15000</v>
      </c>
      <c r="V17" s="178"/>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row>
    <row r="18" spans="1:44" s="179" customFormat="1" ht="81.75" customHeight="1">
      <c r="A18" s="750"/>
      <c r="B18" s="174" t="s">
        <v>337</v>
      </c>
      <c r="C18" s="752"/>
      <c r="D18" s="175" t="s">
        <v>302</v>
      </c>
      <c r="E18" s="175" t="s">
        <v>188</v>
      </c>
      <c r="F18" s="175" t="s">
        <v>300</v>
      </c>
      <c r="G18" s="175">
        <v>360</v>
      </c>
      <c r="H18" s="176">
        <v>300</v>
      </c>
      <c r="I18" s="177">
        <v>0</v>
      </c>
      <c r="J18" s="176">
        <v>36000</v>
      </c>
      <c r="K18" s="176">
        <v>36000</v>
      </c>
      <c r="L18" s="176">
        <v>36000</v>
      </c>
      <c r="M18" s="177">
        <v>0</v>
      </c>
      <c r="N18" s="177">
        <v>0</v>
      </c>
      <c r="O18" s="177">
        <v>0</v>
      </c>
      <c r="P18" s="177">
        <v>0</v>
      </c>
      <c r="Q18" s="177">
        <v>0</v>
      </c>
      <c r="R18" s="177">
        <v>0</v>
      </c>
      <c r="S18" s="177">
        <v>0</v>
      </c>
      <c r="T18" s="177">
        <v>0</v>
      </c>
      <c r="U18" s="176">
        <f>SUM(I18:T18)</f>
        <v>108000</v>
      </c>
      <c r="V18" s="178"/>
    </row>
    <row r="19" spans="1:44" s="179" customFormat="1" ht="33.75" customHeight="1">
      <c r="A19" s="750"/>
      <c r="B19" s="174" t="s">
        <v>338</v>
      </c>
      <c r="C19" s="752"/>
      <c r="D19" s="175" t="s">
        <v>302</v>
      </c>
      <c r="E19" s="175" t="s">
        <v>188</v>
      </c>
      <c r="F19" s="175" t="s">
        <v>300</v>
      </c>
      <c r="G19" s="181">
        <v>48</v>
      </c>
      <c r="H19" s="176">
        <v>300</v>
      </c>
      <c r="I19" s="177">
        <v>0</v>
      </c>
      <c r="J19" s="177">
        <v>0</v>
      </c>
      <c r="K19" s="177">
        <v>0</v>
      </c>
      <c r="L19" s="177">
        <v>0</v>
      </c>
      <c r="M19" s="177">
        <v>0</v>
      </c>
      <c r="N19" s="176">
        <f>$U$19/4</f>
        <v>3600</v>
      </c>
      <c r="O19" s="176">
        <f>$U$19/4</f>
        <v>3600</v>
      </c>
      <c r="P19" s="177">
        <v>0</v>
      </c>
      <c r="Q19" s="176">
        <f>$U$19/4</f>
        <v>3600</v>
      </c>
      <c r="R19" s="177">
        <v>0</v>
      </c>
      <c r="S19" s="177">
        <v>0</v>
      </c>
      <c r="T19" s="176">
        <f>$U$19/4</f>
        <v>3600</v>
      </c>
      <c r="U19" s="176">
        <f>$H$19*$G$19</f>
        <v>14400</v>
      </c>
      <c r="V19" s="178"/>
    </row>
    <row r="20" spans="1:44" s="184" customFormat="1" ht="55.5" customHeight="1">
      <c r="A20" s="750"/>
      <c r="B20" s="174" t="s">
        <v>339</v>
      </c>
      <c r="C20" s="182" t="s">
        <v>298</v>
      </c>
      <c r="D20" s="175" t="s">
        <v>299</v>
      </c>
      <c r="E20" s="175" t="s">
        <v>188</v>
      </c>
      <c r="F20" s="175" t="s">
        <v>300</v>
      </c>
      <c r="G20" s="181">
        <v>30</v>
      </c>
      <c r="H20" s="176">
        <v>4100</v>
      </c>
      <c r="I20" s="177">
        <v>0</v>
      </c>
      <c r="J20" s="177">
        <v>0</v>
      </c>
      <c r="K20" s="177">
        <v>0</v>
      </c>
      <c r="L20" s="177">
        <v>0</v>
      </c>
      <c r="M20" s="177">
        <v>0</v>
      </c>
      <c r="N20" s="177">
        <v>0</v>
      </c>
      <c r="O20" s="177">
        <v>0</v>
      </c>
      <c r="P20" s="177">
        <v>0</v>
      </c>
      <c r="Q20" s="176">
        <v>451000</v>
      </c>
      <c r="R20" s="176">
        <v>451000</v>
      </c>
      <c r="S20" s="176">
        <v>451000</v>
      </c>
      <c r="T20" s="177">
        <v>0</v>
      </c>
      <c r="U20" s="176">
        <v>1350493.76</v>
      </c>
      <c r="V20" s="178"/>
      <c r="W20" s="183"/>
    </row>
    <row r="21" spans="1:44" s="184" customFormat="1" ht="72.75" customHeight="1">
      <c r="A21" s="750"/>
      <c r="B21" s="174" t="s">
        <v>340</v>
      </c>
      <c r="C21" s="182" t="s">
        <v>298</v>
      </c>
      <c r="D21" s="175" t="s">
        <v>299</v>
      </c>
      <c r="E21" s="175" t="s">
        <v>188</v>
      </c>
      <c r="F21" s="175" t="s">
        <v>300</v>
      </c>
      <c r="G21" s="181">
        <v>15</v>
      </c>
      <c r="H21" s="176">
        <v>800</v>
      </c>
      <c r="I21" s="177">
        <v>0</v>
      </c>
      <c r="J21" s="177">
        <v>0</v>
      </c>
      <c r="K21" s="177">
        <v>0</v>
      </c>
      <c r="L21" s="177">
        <v>0</v>
      </c>
      <c r="M21" s="177">
        <v>0</v>
      </c>
      <c r="N21" s="177">
        <v>0</v>
      </c>
      <c r="O21" s="177">
        <v>0</v>
      </c>
      <c r="P21" s="176">
        <f>H21*G21*15</f>
        <v>180000</v>
      </c>
      <c r="Q21" s="177">
        <v>0</v>
      </c>
      <c r="R21" s="177">
        <v>0</v>
      </c>
      <c r="S21" s="177">
        <v>0</v>
      </c>
      <c r="T21" s="177">
        <v>0</v>
      </c>
      <c r="U21" s="176">
        <f>SUM(J21:T21)</f>
        <v>180000</v>
      </c>
      <c r="V21" s="178"/>
    </row>
    <row r="22" spans="1:44" s="179" customFormat="1" ht="51.75" customHeight="1">
      <c r="A22" s="751"/>
      <c r="B22" s="174" t="s">
        <v>341</v>
      </c>
      <c r="C22" s="182" t="s">
        <v>298</v>
      </c>
      <c r="D22" s="175" t="s">
        <v>342</v>
      </c>
      <c r="E22" s="175" t="s">
        <v>201</v>
      </c>
      <c r="F22" s="175" t="s">
        <v>78</v>
      </c>
      <c r="G22" s="181">
        <v>3000</v>
      </c>
      <c r="H22" s="176">
        <v>100</v>
      </c>
      <c r="I22" s="177">
        <v>0</v>
      </c>
      <c r="J22" s="177">
        <v>0</v>
      </c>
      <c r="K22" s="177">
        <v>0</v>
      </c>
      <c r="L22" s="177">
        <v>0</v>
      </c>
      <c r="M22" s="177">
        <v>0</v>
      </c>
      <c r="N22" s="176">
        <f>G22*H22</f>
        <v>300000</v>
      </c>
      <c r="O22" s="177">
        <v>0</v>
      </c>
      <c r="P22" s="177">
        <v>0</v>
      </c>
      <c r="Q22" s="177">
        <v>0</v>
      </c>
      <c r="R22" s="177">
        <v>0</v>
      </c>
      <c r="S22" s="177">
        <v>0</v>
      </c>
      <c r="T22" s="177">
        <v>0</v>
      </c>
      <c r="U22" s="176">
        <f>SUM(I22:T22)</f>
        <v>300000</v>
      </c>
      <c r="V22" s="178"/>
    </row>
    <row r="23" spans="1:44" s="64" customFormat="1" ht="75">
      <c r="A23" s="753" t="s">
        <v>323</v>
      </c>
      <c r="B23" s="185" t="s">
        <v>343</v>
      </c>
      <c r="C23" s="186" t="s">
        <v>298</v>
      </c>
      <c r="D23" s="186" t="s">
        <v>344</v>
      </c>
      <c r="E23" s="186" t="s">
        <v>345</v>
      </c>
      <c r="F23" s="186" t="s">
        <v>346</v>
      </c>
      <c r="G23" s="186">
        <v>4</v>
      </c>
      <c r="H23" s="187">
        <v>27500</v>
      </c>
      <c r="I23" s="188">
        <v>0</v>
      </c>
      <c r="J23" s="188">
        <v>0</v>
      </c>
      <c r="K23" s="188">
        <v>0</v>
      </c>
      <c r="L23" s="188">
        <v>0</v>
      </c>
      <c r="M23" s="188">
        <v>0</v>
      </c>
      <c r="N23" s="187">
        <f>H23*G23</f>
        <v>110000</v>
      </c>
      <c r="O23" s="188">
        <v>0</v>
      </c>
      <c r="P23" s="188">
        <v>0</v>
      </c>
      <c r="Q23" s="188">
        <v>0</v>
      </c>
      <c r="R23" s="188">
        <v>0</v>
      </c>
      <c r="S23" s="188">
        <v>0</v>
      </c>
      <c r="T23" s="188">
        <v>0</v>
      </c>
      <c r="U23" s="187">
        <f>$H$23*$G$23</f>
        <v>110000</v>
      </c>
      <c r="V23" s="189"/>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row>
    <row r="24" spans="1:44" s="195" customFormat="1" ht="105">
      <c r="A24" s="754"/>
      <c r="B24" s="191" t="s">
        <v>347</v>
      </c>
      <c r="C24" s="186" t="s">
        <v>298</v>
      </c>
      <c r="D24" s="186" t="s">
        <v>348</v>
      </c>
      <c r="E24" s="186" t="s">
        <v>188</v>
      </c>
      <c r="F24" s="192" t="s">
        <v>349</v>
      </c>
      <c r="G24" s="192">
        <v>11</v>
      </c>
      <c r="H24" s="187">
        <v>900</v>
      </c>
      <c r="I24" s="188">
        <v>0</v>
      </c>
      <c r="J24" s="188">
        <v>0</v>
      </c>
      <c r="K24" s="188">
        <v>0</v>
      </c>
      <c r="L24" s="188">
        <v>0</v>
      </c>
      <c r="M24" s="187">
        <f>H24*G24*5</f>
        <v>49500</v>
      </c>
      <c r="N24" s="188">
        <v>0</v>
      </c>
      <c r="O24" s="193">
        <v>0</v>
      </c>
      <c r="P24" s="193">
        <v>0</v>
      </c>
      <c r="Q24" s="193">
        <v>0</v>
      </c>
      <c r="R24" s="193">
        <v>0</v>
      </c>
      <c r="S24" s="193">
        <v>0</v>
      </c>
      <c r="T24" s="193">
        <v>0</v>
      </c>
      <c r="U24" s="187">
        <f>I24+J24+K24+L24+M24+N24+O24+P24+Q24+R24+S24+T24</f>
        <v>49500</v>
      </c>
      <c r="V24" s="194"/>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row>
    <row r="25" spans="1:44" s="198" customFormat="1" ht="84" customHeight="1">
      <c r="A25" s="754"/>
      <c r="B25" s="196" t="s">
        <v>350</v>
      </c>
      <c r="C25" s="186" t="s">
        <v>298</v>
      </c>
      <c r="D25" s="197" t="s">
        <v>351</v>
      </c>
      <c r="E25" s="197" t="s">
        <v>205</v>
      </c>
      <c r="F25" s="197" t="s">
        <v>300</v>
      </c>
      <c r="G25" s="197">
        <v>45</v>
      </c>
      <c r="H25" s="187">
        <v>3500</v>
      </c>
      <c r="I25" s="188">
        <v>0</v>
      </c>
      <c r="J25" s="188">
        <v>0</v>
      </c>
      <c r="K25" s="188">
        <v>0</v>
      </c>
      <c r="L25" s="188">
        <v>0</v>
      </c>
      <c r="M25" s="188">
        <v>0</v>
      </c>
      <c r="N25" s="188">
        <v>0</v>
      </c>
      <c r="O25" s="188">
        <v>0</v>
      </c>
      <c r="P25" s="187">
        <f>G25*H25*3</f>
        <v>472500</v>
      </c>
      <c r="Q25" s="188">
        <v>0</v>
      </c>
      <c r="R25" s="188">
        <v>0</v>
      </c>
      <c r="S25" s="188">
        <v>0</v>
      </c>
      <c r="T25" s="188">
        <v>0</v>
      </c>
      <c r="U25" s="188">
        <v>0</v>
      </c>
      <c r="V25" s="189" t="s">
        <v>352</v>
      </c>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row>
    <row r="26" spans="1:44" ht="75">
      <c r="A26" s="754"/>
      <c r="B26" s="199" t="s">
        <v>353</v>
      </c>
      <c r="C26" s="200" t="s">
        <v>298</v>
      </c>
      <c r="D26" s="201" t="s">
        <v>354</v>
      </c>
      <c r="E26" s="201" t="s">
        <v>355</v>
      </c>
      <c r="F26" s="201" t="s">
        <v>346</v>
      </c>
      <c r="G26" s="201">
        <v>4</v>
      </c>
      <c r="H26" s="202">
        <v>9000</v>
      </c>
      <c r="I26" s="203">
        <v>0</v>
      </c>
      <c r="J26" s="203">
        <v>0</v>
      </c>
      <c r="K26" s="203">
        <v>0</v>
      </c>
      <c r="L26" s="202">
        <v>18000</v>
      </c>
      <c r="M26" s="203">
        <v>0</v>
      </c>
      <c r="N26" s="203">
        <v>0</v>
      </c>
      <c r="O26" s="203">
        <v>0</v>
      </c>
      <c r="P26" s="188">
        <v>0</v>
      </c>
      <c r="Q26" s="203">
        <v>0</v>
      </c>
      <c r="R26" s="202">
        <v>18000</v>
      </c>
      <c r="S26" s="203">
        <v>0</v>
      </c>
      <c r="T26" s="203">
        <v>0</v>
      </c>
      <c r="U26" s="202">
        <f>SUM(I26:T26)</f>
        <v>36000</v>
      </c>
      <c r="V26" s="189"/>
      <c r="W26" s="27"/>
      <c r="X26" s="27"/>
      <c r="Y26" s="27"/>
      <c r="Z26" s="27"/>
      <c r="AA26" s="27"/>
      <c r="AB26" s="27"/>
      <c r="AC26" s="27"/>
      <c r="AD26" s="27"/>
      <c r="AE26" s="27"/>
      <c r="AF26" s="27"/>
      <c r="AG26" s="27"/>
      <c r="AH26" s="27"/>
      <c r="AI26" s="27"/>
      <c r="AJ26" s="27"/>
      <c r="AK26" s="27"/>
      <c r="AL26" s="27"/>
      <c r="AM26" s="27"/>
      <c r="AN26" s="27"/>
      <c r="AO26" s="27"/>
      <c r="AP26" s="27"/>
      <c r="AQ26" s="27"/>
      <c r="AR26" s="27"/>
    </row>
    <row r="27" spans="1:44" ht="71.25">
      <c r="A27" s="754"/>
      <c r="B27" s="756" t="s">
        <v>356</v>
      </c>
      <c r="C27" s="759" t="s">
        <v>298</v>
      </c>
      <c r="D27" s="192" t="s">
        <v>357</v>
      </c>
      <c r="E27" s="192" t="s">
        <v>149</v>
      </c>
      <c r="F27" s="192" t="s">
        <v>346</v>
      </c>
      <c r="G27" s="192">
        <v>2</v>
      </c>
      <c r="H27" s="187">
        <v>5200</v>
      </c>
      <c r="I27" s="188">
        <v>0</v>
      </c>
      <c r="J27" s="188">
        <v>0</v>
      </c>
      <c r="K27" s="188">
        <v>0</v>
      </c>
      <c r="L27" s="188">
        <v>0</v>
      </c>
      <c r="M27" s="188">
        <v>0</v>
      </c>
      <c r="N27" s="188">
        <v>0</v>
      </c>
      <c r="O27" s="188">
        <v>0</v>
      </c>
      <c r="P27" s="188">
        <v>0</v>
      </c>
      <c r="Q27" s="188">
        <v>0</v>
      </c>
      <c r="R27" s="187">
        <v>5200</v>
      </c>
      <c r="S27" s="187">
        <v>5200</v>
      </c>
      <c r="T27" s="188">
        <v>0</v>
      </c>
      <c r="U27" s="188">
        <v>0</v>
      </c>
      <c r="V27" s="189" t="s">
        <v>358</v>
      </c>
      <c r="W27" s="27"/>
      <c r="X27" s="27"/>
      <c r="Y27" s="27"/>
      <c r="Z27" s="27"/>
      <c r="AA27" s="27"/>
      <c r="AB27" s="27"/>
      <c r="AC27" s="27"/>
      <c r="AD27" s="27"/>
      <c r="AE27" s="27"/>
      <c r="AF27" s="27"/>
      <c r="AG27" s="27"/>
      <c r="AH27" s="27"/>
      <c r="AI27" s="27"/>
      <c r="AJ27" s="27"/>
      <c r="AK27" s="27"/>
      <c r="AL27" s="27"/>
      <c r="AM27" s="27"/>
      <c r="AN27" s="27"/>
      <c r="AO27" s="27"/>
      <c r="AP27" s="27"/>
      <c r="AQ27" s="27"/>
      <c r="AR27" s="27"/>
    </row>
    <row r="28" spans="1:44" ht="71.25">
      <c r="A28" s="754"/>
      <c r="B28" s="757"/>
      <c r="C28" s="760"/>
      <c r="D28" s="192" t="s">
        <v>359</v>
      </c>
      <c r="E28" s="192" t="s">
        <v>149</v>
      </c>
      <c r="F28" s="192" t="s">
        <v>346</v>
      </c>
      <c r="G28" s="192">
        <v>2</v>
      </c>
      <c r="H28" s="187">
        <v>5200</v>
      </c>
      <c r="I28" s="188">
        <v>0</v>
      </c>
      <c r="J28" s="188">
        <v>0</v>
      </c>
      <c r="K28" s="188">
        <v>0</v>
      </c>
      <c r="L28" s="188">
        <v>0</v>
      </c>
      <c r="M28" s="188">
        <v>0</v>
      </c>
      <c r="N28" s="188">
        <v>0</v>
      </c>
      <c r="O28" s="188">
        <v>0</v>
      </c>
      <c r="P28" s="188">
        <v>0</v>
      </c>
      <c r="Q28" s="188">
        <v>0</v>
      </c>
      <c r="R28" s="187">
        <v>5200</v>
      </c>
      <c r="S28" s="187">
        <v>5200</v>
      </c>
      <c r="T28" s="188">
        <v>0</v>
      </c>
      <c r="U28" s="188">
        <v>0</v>
      </c>
      <c r="V28" s="189" t="s">
        <v>358</v>
      </c>
      <c r="W28" s="27"/>
      <c r="X28" s="27"/>
      <c r="Y28" s="27"/>
      <c r="Z28" s="27"/>
      <c r="AA28" s="27"/>
      <c r="AB28" s="27"/>
      <c r="AC28" s="27"/>
      <c r="AD28" s="27"/>
      <c r="AE28" s="27"/>
      <c r="AF28" s="27"/>
      <c r="AG28" s="27"/>
      <c r="AH28" s="27"/>
      <c r="AI28" s="27"/>
      <c r="AJ28" s="27"/>
      <c r="AK28" s="27"/>
      <c r="AL28" s="27"/>
      <c r="AM28" s="27"/>
      <c r="AN28" s="27"/>
      <c r="AO28" s="27"/>
      <c r="AP28" s="27"/>
      <c r="AQ28" s="27"/>
      <c r="AR28" s="27"/>
    </row>
    <row r="29" spans="1:44" ht="71.25">
      <c r="A29" s="754"/>
      <c r="B29" s="757"/>
      <c r="C29" s="760"/>
      <c r="D29" s="192" t="s">
        <v>360</v>
      </c>
      <c r="E29" s="192" t="s">
        <v>149</v>
      </c>
      <c r="F29" s="192" t="s">
        <v>346</v>
      </c>
      <c r="G29" s="192">
        <v>2</v>
      </c>
      <c r="H29" s="187">
        <v>5200</v>
      </c>
      <c r="I29" s="188">
        <v>0</v>
      </c>
      <c r="J29" s="188">
        <v>0</v>
      </c>
      <c r="K29" s="188">
        <v>0</v>
      </c>
      <c r="L29" s="188">
        <v>0</v>
      </c>
      <c r="M29" s="188">
        <v>0</v>
      </c>
      <c r="N29" s="188">
        <v>0</v>
      </c>
      <c r="O29" s="188">
        <v>0</v>
      </c>
      <c r="P29" s="188">
        <v>0</v>
      </c>
      <c r="Q29" s="188">
        <v>0</v>
      </c>
      <c r="R29" s="187">
        <v>5200</v>
      </c>
      <c r="S29" s="187">
        <v>5200</v>
      </c>
      <c r="T29" s="188">
        <v>0</v>
      </c>
      <c r="U29" s="188">
        <v>0</v>
      </c>
      <c r="V29" s="189" t="s">
        <v>358</v>
      </c>
      <c r="W29" s="27"/>
      <c r="X29" s="27"/>
      <c r="Y29" s="27"/>
      <c r="Z29" s="27"/>
      <c r="AA29" s="27"/>
      <c r="AB29" s="27"/>
      <c r="AC29" s="27"/>
      <c r="AD29" s="27"/>
      <c r="AE29" s="27"/>
      <c r="AF29" s="27"/>
      <c r="AG29" s="27"/>
      <c r="AH29" s="27"/>
      <c r="AI29" s="27"/>
      <c r="AJ29" s="27"/>
      <c r="AK29" s="27"/>
      <c r="AL29" s="27"/>
      <c r="AM29" s="27"/>
      <c r="AN29" s="27"/>
      <c r="AO29" s="27"/>
      <c r="AP29" s="27"/>
      <c r="AQ29" s="27"/>
      <c r="AR29" s="27"/>
    </row>
    <row r="30" spans="1:44" ht="71.25">
      <c r="A30" s="754"/>
      <c r="B30" s="757"/>
      <c r="C30" s="760"/>
      <c r="D30" s="192" t="s">
        <v>361</v>
      </c>
      <c r="E30" s="192" t="s">
        <v>149</v>
      </c>
      <c r="F30" s="192" t="s">
        <v>346</v>
      </c>
      <c r="G30" s="192">
        <v>2</v>
      </c>
      <c r="H30" s="187">
        <v>5200</v>
      </c>
      <c r="I30" s="188">
        <v>0</v>
      </c>
      <c r="J30" s="188">
        <v>0</v>
      </c>
      <c r="K30" s="188">
        <v>0</v>
      </c>
      <c r="L30" s="188">
        <v>0</v>
      </c>
      <c r="M30" s="188">
        <v>0</v>
      </c>
      <c r="N30" s="188">
        <v>0</v>
      </c>
      <c r="O30" s="188">
        <v>0</v>
      </c>
      <c r="P30" s="188">
        <v>0</v>
      </c>
      <c r="Q30" s="188">
        <v>0</v>
      </c>
      <c r="R30" s="187">
        <v>5200</v>
      </c>
      <c r="S30" s="187">
        <v>5200</v>
      </c>
      <c r="T30" s="188">
        <v>0</v>
      </c>
      <c r="U30" s="193">
        <v>0</v>
      </c>
      <c r="V30" s="189" t="s">
        <v>358</v>
      </c>
    </row>
    <row r="31" spans="1:44" ht="15">
      <c r="A31" s="754"/>
      <c r="B31" s="757"/>
      <c r="C31" s="760"/>
      <c r="D31" s="201" t="s">
        <v>362</v>
      </c>
      <c r="E31" s="201" t="s">
        <v>149</v>
      </c>
      <c r="F31" s="201" t="s">
        <v>363</v>
      </c>
      <c r="G31" s="201">
        <v>10</v>
      </c>
      <c r="H31" s="187">
        <v>915</v>
      </c>
      <c r="I31" s="188">
        <v>0</v>
      </c>
      <c r="J31" s="188">
        <v>0</v>
      </c>
      <c r="K31" s="188">
        <v>0</v>
      </c>
      <c r="L31" s="187">
        <f t="shared" ref="L31:L34" si="0">G31*H31</f>
        <v>9150</v>
      </c>
      <c r="M31" s="188">
        <v>0</v>
      </c>
      <c r="N31" s="188">
        <v>0</v>
      </c>
      <c r="O31" s="188">
        <v>0</v>
      </c>
      <c r="P31" s="188">
        <v>0</v>
      </c>
      <c r="Q31" s="188">
        <v>0</v>
      </c>
      <c r="R31" s="188">
        <v>0</v>
      </c>
      <c r="S31" s="188">
        <v>0</v>
      </c>
      <c r="T31" s="188">
        <v>0</v>
      </c>
      <c r="U31" s="204">
        <f t="shared" ref="U31:U34" si="1">SUM(J31:T31)</f>
        <v>9150</v>
      </c>
      <c r="V31" s="189"/>
    </row>
    <row r="32" spans="1:44" ht="15">
      <c r="A32" s="754"/>
      <c r="B32" s="757"/>
      <c r="C32" s="760"/>
      <c r="D32" s="201" t="s">
        <v>364</v>
      </c>
      <c r="E32" s="201" t="s">
        <v>149</v>
      </c>
      <c r="F32" s="201" t="s">
        <v>363</v>
      </c>
      <c r="G32" s="201">
        <v>10</v>
      </c>
      <c r="H32" s="187">
        <v>715</v>
      </c>
      <c r="I32" s="188">
        <v>0</v>
      </c>
      <c r="J32" s="188">
        <v>0</v>
      </c>
      <c r="K32" s="188">
        <v>0</v>
      </c>
      <c r="L32" s="187">
        <f t="shared" si="0"/>
        <v>7150</v>
      </c>
      <c r="M32" s="188">
        <v>0</v>
      </c>
      <c r="N32" s="188">
        <v>0</v>
      </c>
      <c r="O32" s="188">
        <v>0</v>
      </c>
      <c r="P32" s="188">
        <v>0</v>
      </c>
      <c r="Q32" s="188">
        <v>0</v>
      </c>
      <c r="R32" s="188">
        <v>0</v>
      </c>
      <c r="S32" s="188">
        <v>0</v>
      </c>
      <c r="T32" s="188">
        <v>0</v>
      </c>
      <c r="U32" s="204">
        <f t="shared" si="1"/>
        <v>7150</v>
      </c>
      <c r="V32" s="189"/>
    </row>
    <row r="33" spans="1:22" ht="15">
      <c r="A33" s="754"/>
      <c r="B33" s="757"/>
      <c r="C33" s="760"/>
      <c r="D33" s="201" t="s">
        <v>365</v>
      </c>
      <c r="E33" s="201" t="s">
        <v>149</v>
      </c>
      <c r="F33" s="201" t="s">
        <v>366</v>
      </c>
      <c r="G33" s="201">
        <v>15</v>
      </c>
      <c r="H33" s="187">
        <v>350</v>
      </c>
      <c r="I33" s="188">
        <v>0</v>
      </c>
      <c r="J33" s="188">
        <v>0</v>
      </c>
      <c r="K33" s="188">
        <v>0</v>
      </c>
      <c r="L33" s="187">
        <f t="shared" si="0"/>
        <v>5250</v>
      </c>
      <c r="M33" s="188">
        <v>0</v>
      </c>
      <c r="N33" s="188">
        <v>0</v>
      </c>
      <c r="O33" s="188">
        <v>0</v>
      </c>
      <c r="P33" s="188">
        <v>0</v>
      </c>
      <c r="Q33" s="188">
        <v>0</v>
      </c>
      <c r="R33" s="188">
        <v>0</v>
      </c>
      <c r="S33" s="188">
        <v>0</v>
      </c>
      <c r="T33" s="188">
        <v>0</v>
      </c>
      <c r="U33" s="204">
        <f t="shared" si="1"/>
        <v>5250</v>
      </c>
      <c r="V33" s="189"/>
    </row>
    <row r="34" spans="1:22" ht="45">
      <c r="A34" s="754"/>
      <c r="B34" s="757"/>
      <c r="C34" s="760"/>
      <c r="D34" s="200" t="s">
        <v>367</v>
      </c>
      <c r="E34" s="201" t="s">
        <v>149</v>
      </c>
      <c r="F34" s="201" t="s">
        <v>78</v>
      </c>
      <c r="G34" s="201">
        <v>3</v>
      </c>
      <c r="H34" s="187">
        <v>7500</v>
      </c>
      <c r="I34" s="188">
        <v>0</v>
      </c>
      <c r="J34" s="188">
        <v>0</v>
      </c>
      <c r="K34" s="188">
        <v>0</v>
      </c>
      <c r="L34" s="187">
        <f t="shared" si="0"/>
        <v>22500</v>
      </c>
      <c r="M34" s="188">
        <v>0</v>
      </c>
      <c r="N34" s="188">
        <v>0</v>
      </c>
      <c r="O34" s="188">
        <v>0</v>
      </c>
      <c r="P34" s="188">
        <v>0</v>
      </c>
      <c r="Q34" s="188">
        <v>0</v>
      </c>
      <c r="R34" s="188">
        <v>0</v>
      </c>
      <c r="S34" s="188">
        <v>0</v>
      </c>
      <c r="T34" s="188">
        <v>0</v>
      </c>
      <c r="U34" s="205">
        <f t="shared" si="1"/>
        <v>22500</v>
      </c>
      <c r="V34" s="189"/>
    </row>
    <row r="35" spans="1:22" ht="71.25">
      <c r="A35" s="754"/>
      <c r="B35" s="757"/>
      <c r="C35" s="760"/>
      <c r="D35" s="192" t="s">
        <v>368</v>
      </c>
      <c r="E35" s="192" t="s">
        <v>149</v>
      </c>
      <c r="F35" s="192" t="s">
        <v>78</v>
      </c>
      <c r="G35" s="192">
        <v>1</v>
      </c>
      <c r="H35" s="187">
        <v>25650</v>
      </c>
      <c r="I35" s="188">
        <v>0</v>
      </c>
      <c r="J35" s="188">
        <v>0</v>
      </c>
      <c r="K35" s="188">
        <v>0</v>
      </c>
      <c r="L35" s="188">
        <v>0</v>
      </c>
      <c r="M35" s="188">
        <v>0</v>
      </c>
      <c r="N35" s="188">
        <v>0</v>
      </c>
      <c r="O35" s="188">
        <v>0</v>
      </c>
      <c r="P35" s="188">
        <v>0</v>
      </c>
      <c r="Q35" s="188">
        <v>0</v>
      </c>
      <c r="R35" s="187">
        <f t="shared" ref="R35:R48" si="2">G35*H35</f>
        <v>25650</v>
      </c>
      <c r="S35" s="188">
        <v>0</v>
      </c>
      <c r="T35" s="188">
        <v>0</v>
      </c>
      <c r="U35" s="193">
        <v>0</v>
      </c>
      <c r="V35" s="189" t="s">
        <v>369</v>
      </c>
    </row>
    <row r="36" spans="1:22" ht="71.25">
      <c r="A36" s="754"/>
      <c r="B36" s="757"/>
      <c r="C36" s="760"/>
      <c r="D36" s="192" t="s">
        <v>370</v>
      </c>
      <c r="E36" s="192" t="s">
        <v>149</v>
      </c>
      <c r="F36" s="192" t="s">
        <v>78</v>
      </c>
      <c r="G36" s="192">
        <v>1</v>
      </c>
      <c r="H36" s="187">
        <v>25650</v>
      </c>
      <c r="I36" s="188">
        <v>0</v>
      </c>
      <c r="J36" s="188">
        <v>0</v>
      </c>
      <c r="K36" s="188">
        <v>0</v>
      </c>
      <c r="L36" s="188">
        <v>0</v>
      </c>
      <c r="M36" s="188">
        <v>0</v>
      </c>
      <c r="N36" s="188">
        <v>0</v>
      </c>
      <c r="O36" s="188">
        <v>0</v>
      </c>
      <c r="P36" s="188">
        <v>0</v>
      </c>
      <c r="Q36" s="188">
        <v>0</v>
      </c>
      <c r="R36" s="187">
        <f t="shared" si="2"/>
        <v>25650</v>
      </c>
      <c r="S36" s="188">
        <v>0</v>
      </c>
      <c r="T36" s="188">
        <v>0</v>
      </c>
      <c r="U36" s="193">
        <v>0</v>
      </c>
      <c r="V36" s="189" t="s">
        <v>369</v>
      </c>
    </row>
    <row r="37" spans="1:22" ht="71.25">
      <c r="A37" s="754"/>
      <c r="B37" s="757"/>
      <c r="C37" s="760"/>
      <c r="D37" s="192" t="s">
        <v>371</v>
      </c>
      <c r="E37" s="192" t="s">
        <v>149</v>
      </c>
      <c r="F37" s="192" t="s">
        <v>78</v>
      </c>
      <c r="G37" s="192">
        <v>1</v>
      </c>
      <c r="H37" s="187">
        <v>25650</v>
      </c>
      <c r="I37" s="188">
        <v>0</v>
      </c>
      <c r="J37" s="188">
        <v>0</v>
      </c>
      <c r="K37" s="188">
        <v>0</v>
      </c>
      <c r="L37" s="188">
        <v>0</v>
      </c>
      <c r="M37" s="188">
        <v>0</v>
      </c>
      <c r="N37" s="188">
        <v>0</v>
      </c>
      <c r="O37" s="188">
        <v>0</v>
      </c>
      <c r="P37" s="188">
        <v>0</v>
      </c>
      <c r="Q37" s="188">
        <v>0</v>
      </c>
      <c r="R37" s="187">
        <f t="shared" si="2"/>
        <v>25650</v>
      </c>
      <c r="S37" s="188">
        <v>0</v>
      </c>
      <c r="T37" s="188">
        <v>0</v>
      </c>
      <c r="U37" s="193">
        <v>0</v>
      </c>
      <c r="V37" s="189" t="s">
        <v>369</v>
      </c>
    </row>
    <row r="38" spans="1:22" ht="71.25">
      <c r="A38" s="754"/>
      <c r="B38" s="757"/>
      <c r="C38" s="760"/>
      <c r="D38" s="192" t="s">
        <v>372</v>
      </c>
      <c r="E38" s="192" t="s">
        <v>149</v>
      </c>
      <c r="F38" s="192" t="s">
        <v>78</v>
      </c>
      <c r="G38" s="192">
        <v>1</v>
      </c>
      <c r="H38" s="187">
        <v>25650</v>
      </c>
      <c r="I38" s="188">
        <v>0</v>
      </c>
      <c r="J38" s="188">
        <v>0</v>
      </c>
      <c r="K38" s="188">
        <v>0</v>
      </c>
      <c r="L38" s="188">
        <v>0</v>
      </c>
      <c r="M38" s="188">
        <v>0</v>
      </c>
      <c r="N38" s="188">
        <v>0</v>
      </c>
      <c r="O38" s="188">
        <v>0</v>
      </c>
      <c r="P38" s="188">
        <v>0</v>
      </c>
      <c r="Q38" s="188">
        <v>0</v>
      </c>
      <c r="R38" s="187">
        <f t="shared" si="2"/>
        <v>25650</v>
      </c>
      <c r="S38" s="188">
        <v>0</v>
      </c>
      <c r="T38" s="188">
        <v>0</v>
      </c>
      <c r="U38" s="193">
        <v>0</v>
      </c>
      <c r="V38" s="189" t="s">
        <v>369</v>
      </c>
    </row>
    <row r="39" spans="1:22" ht="71.25">
      <c r="A39" s="754"/>
      <c r="B39" s="757"/>
      <c r="C39" s="760"/>
      <c r="D39" s="192" t="s">
        <v>373</v>
      </c>
      <c r="E39" s="192" t="s">
        <v>149</v>
      </c>
      <c r="F39" s="192" t="s">
        <v>78</v>
      </c>
      <c r="G39" s="192">
        <v>1</v>
      </c>
      <c r="H39" s="187">
        <v>34200</v>
      </c>
      <c r="I39" s="188">
        <v>0</v>
      </c>
      <c r="J39" s="188">
        <v>0</v>
      </c>
      <c r="K39" s="188">
        <v>0</v>
      </c>
      <c r="L39" s="188">
        <v>0</v>
      </c>
      <c r="M39" s="188">
        <v>0</v>
      </c>
      <c r="N39" s="188">
        <v>0</v>
      </c>
      <c r="O39" s="188">
        <v>0</v>
      </c>
      <c r="P39" s="188">
        <v>0</v>
      </c>
      <c r="Q39" s="188">
        <v>0</v>
      </c>
      <c r="R39" s="187">
        <f t="shared" si="2"/>
        <v>34200</v>
      </c>
      <c r="S39" s="188">
        <v>0</v>
      </c>
      <c r="T39" s="188">
        <v>0</v>
      </c>
      <c r="U39" s="193">
        <v>0</v>
      </c>
      <c r="V39" s="189" t="s">
        <v>374</v>
      </c>
    </row>
    <row r="40" spans="1:22" ht="71.25">
      <c r="A40" s="754"/>
      <c r="B40" s="757"/>
      <c r="C40" s="760"/>
      <c r="D40" s="192" t="s">
        <v>375</v>
      </c>
      <c r="E40" s="192" t="s">
        <v>149</v>
      </c>
      <c r="F40" s="192" t="s">
        <v>78</v>
      </c>
      <c r="G40" s="192">
        <v>1</v>
      </c>
      <c r="H40" s="187">
        <v>34200</v>
      </c>
      <c r="I40" s="188">
        <v>0</v>
      </c>
      <c r="J40" s="188">
        <v>0</v>
      </c>
      <c r="K40" s="188">
        <v>0</v>
      </c>
      <c r="L40" s="188">
        <v>0</v>
      </c>
      <c r="M40" s="188">
        <v>0</v>
      </c>
      <c r="N40" s="188">
        <v>0</v>
      </c>
      <c r="O40" s="188">
        <v>0</v>
      </c>
      <c r="P40" s="188">
        <v>0</v>
      </c>
      <c r="Q40" s="188">
        <v>0</v>
      </c>
      <c r="R40" s="187">
        <f t="shared" si="2"/>
        <v>34200</v>
      </c>
      <c r="S40" s="188">
        <v>0</v>
      </c>
      <c r="T40" s="188">
        <v>0</v>
      </c>
      <c r="U40" s="193">
        <v>0</v>
      </c>
      <c r="V40" s="189" t="s">
        <v>374</v>
      </c>
    </row>
    <row r="41" spans="1:22" ht="71.25">
      <c r="A41" s="754"/>
      <c r="B41" s="757"/>
      <c r="C41" s="760"/>
      <c r="D41" s="192" t="s">
        <v>376</v>
      </c>
      <c r="E41" s="192" t="s">
        <v>149</v>
      </c>
      <c r="F41" s="192" t="s">
        <v>78</v>
      </c>
      <c r="G41" s="192">
        <v>1</v>
      </c>
      <c r="H41" s="187">
        <v>34200</v>
      </c>
      <c r="I41" s="188">
        <v>0</v>
      </c>
      <c r="J41" s="188">
        <v>0</v>
      </c>
      <c r="K41" s="188">
        <v>0</v>
      </c>
      <c r="L41" s="188">
        <v>0</v>
      </c>
      <c r="M41" s="188">
        <v>0</v>
      </c>
      <c r="N41" s="188">
        <v>0</v>
      </c>
      <c r="O41" s="188">
        <v>0</v>
      </c>
      <c r="P41" s="188">
        <v>0</v>
      </c>
      <c r="Q41" s="188">
        <v>0</v>
      </c>
      <c r="R41" s="187">
        <f t="shared" si="2"/>
        <v>34200</v>
      </c>
      <c r="S41" s="188">
        <v>0</v>
      </c>
      <c r="T41" s="188">
        <v>0</v>
      </c>
      <c r="U41" s="193">
        <v>0</v>
      </c>
      <c r="V41" s="189" t="s">
        <v>374</v>
      </c>
    </row>
    <row r="42" spans="1:22" ht="71.25">
      <c r="A42" s="754"/>
      <c r="B42" s="757"/>
      <c r="C42" s="760"/>
      <c r="D42" s="192" t="s">
        <v>377</v>
      </c>
      <c r="E42" s="192" t="s">
        <v>149</v>
      </c>
      <c r="F42" s="192" t="s">
        <v>78</v>
      </c>
      <c r="G42" s="192">
        <v>1</v>
      </c>
      <c r="H42" s="187">
        <v>34200</v>
      </c>
      <c r="I42" s="188">
        <v>0</v>
      </c>
      <c r="J42" s="188">
        <v>0</v>
      </c>
      <c r="K42" s="188">
        <v>0</v>
      </c>
      <c r="L42" s="188">
        <v>0</v>
      </c>
      <c r="M42" s="188">
        <v>0</v>
      </c>
      <c r="N42" s="188">
        <v>0</v>
      </c>
      <c r="O42" s="188">
        <v>0</v>
      </c>
      <c r="P42" s="188">
        <v>0</v>
      </c>
      <c r="Q42" s="188">
        <v>0</v>
      </c>
      <c r="R42" s="187">
        <f t="shared" si="2"/>
        <v>34200</v>
      </c>
      <c r="S42" s="188">
        <v>0</v>
      </c>
      <c r="T42" s="188">
        <v>0</v>
      </c>
      <c r="U42" s="193">
        <v>0</v>
      </c>
      <c r="V42" s="189" t="s">
        <v>374</v>
      </c>
    </row>
    <row r="43" spans="1:22" ht="71.25">
      <c r="A43" s="754"/>
      <c r="B43" s="757"/>
      <c r="C43" s="760"/>
      <c r="D43" s="192" t="s">
        <v>378</v>
      </c>
      <c r="E43" s="192" t="s">
        <v>149</v>
      </c>
      <c r="F43" s="192" t="s">
        <v>78</v>
      </c>
      <c r="G43" s="192">
        <v>1</v>
      </c>
      <c r="H43" s="187">
        <v>34200</v>
      </c>
      <c r="I43" s="188">
        <v>0</v>
      </c>
      <c r="J43" s="188">
        <v>0</v>
      </c>
      <c r="K43" s="188">
        <v>0</v>
      </c>
      <c r="L43" s="188">
        <v>0</v>
      </c>
      <c r="M43" s="188">
        <v>0</v>
      </c>
      <c r="N43" s="188">
        <v>0</v>
      </c>
      <c r="O43" s="188">
        <v>0</v>
      </c>
      <c r="P43" s="188">
        <v>0</v>
      </c>
      <c r="Q43" s="188">
        <v>0</v>
      </c>
      <c r="R43" s="187">
        <f t="shared" si="2"/>
        <v>34200</v>
      </c>
      <c r="S43" s="188">
        <v>0</v>
      </c>
      <c r="T43" s="188">
        <v>0</v>
      </c>
      <c r="U43" s="193">
        <v>0</v>
      </c>
      <c r="V43" s="189" t="s">
        <v>374</v>
      </c>
    </row>
    <row r="44" spans="1:22" ht="71.25">
      <c r="A44" s="754"/>
      <c r="B44" s="757"/>
      <c r="C44" s="760"/>
      <c r="D44" s="192" t="s">
        <v>379</v>
      </c>
      <c r="E44" s="192" t="s">
        <v>149</v>
      </c>
      <c r="F44" s="192" t="s">
        <v>78</v>
      </c>
      <c r="G44" s="192">
        <v>1</v>
      </c>
      <c r="H44" s="187">
        <v>34200</v>
      </c>
      <c r="I44" s="188">
        <v>0</v>
      </c>
      <c r="J44" s="188">
        <v>0</v>
      </c>
      <c r="K44" s="188">
        <v>0</v>
      </c>
      <c r="L44" s="188">
        <v>0</v>
      </c>
      <c r="M44" s="188">
        <v>0</v>
      </c>
      <c r="N44" s="188">
        <v>0</v>
      </c>
      <c r="O44" s="188">
        <v>0</v>
      </c>
      <c r="P44" s="188">
        <v>0</v>
      </c>
      <c r="Q44" s="188">
        <v>0</v>
      </c>
      <c r="R44" s="187">
        <f t="shared" si="2"/>
        <v>34200</v>
      </c>
      <c r="S44" s="188">
        <v>0</v>
      </c>
      <c r="T44" s="188">
        <v>0</v>
      </c>
      <c r="U44" s="193">
        <v>0</v>
      </c>
      <c r="V44" s="189" t="s">
        <v>374</v>
      </c>
    </row>
    <row r="45" spans="1:22" ht="71.25">
      <c r="A45" s="754"/>
      <c r="B45" s="757"/>
      <c r="C45" s="760"/>
      <c r="D45" s="192" t="s">
        <v>380</v>
      </c>
      <c r="E45" s="192" t="s">
        <v>149</v>
      </c>
      <c r="F45" s="192" t="s">
        <v>78</v>
      </c>
      <c r="G45" s="192">
        <v>1</v>
      </c>
      <c r="H45" s="187">
        <v>34200</v>
      </c>
      <c r="I45" s="188">
        <v>0</v>
      </c>
      <c r="J45" s="188">
        <v>0</v>
      </c>
      <c r="K45" s="188">
        <v>0</v>
      </c>
      <c r="L45" s="188">
        <v>0</v>
      </c>
      <c r="M45" s="188">
        <v>0</v>
      </c>
      <c r="N45" s="188">
        <v>0</v>
      </c>
      <c r="O45" s="188">
        <v>0</v>
      </c>
      <c r="P45" s="188">
        <v>0</v>
      </c>
      <c r="Q45" s="188">
        <v>0</v>
      </c>
      <c r="R45" s="187">
        <f t="shared" si="2"/>
        <v>34200</v>
      </c>
      <c r="S45" s="188">
        <v>0</v>
      </c>
      <c r="T45" s="188">
        <v>0</v>
      </c>
      <c r="U45" s="193">
        <v>0</v>
      </c>
      <c r="V45" s="189" t="s">
        <v>374</v>
      </c>
    </row>
    <row r="46" spans="1:22" ht="71.25">
      <c r="A46" s="754"/>
      <c r="B46" s="757"/>
      <c r="C46" s="760"/>
      <c r="D46" s="192" t="s">
        <v>381</v>
      </c>
      <c r="E46" s="192" t="s">
        <v>149</v>
      </c>
      <c r="F46" s="192" t="s">
        <v>78</v>
      </c>
      <c r="G46" s="192">
        <v>1</v>
      </c>
      <c r="H46" s="187">
        <v>34200</v>
      </c>
      <c r="I46" s="188">
        <v>0</v>
      </c>
      <c r="J46" s="188">
        <v>0</v>
      </c>
      <c r="K46" s="188">
        <v>0</v>
      </c>
      <c r="L46" s="188">
        <v>0</v>
      </c>
      <c r="M46" s="188">
        <v>0</v>
      </c>
      <c r="N46" s="188">
        <v>0</v>
      </c>
      <c r="O46" s="188">
        <v>0</v>
      </c>
      <c r="P46" s="188">
        <v>0</v>
      </c>
      <c r="Q46" s="188">
        <v>0</v>
      </c>
      <c r="R46" s="187">
        <f t="shared" si="2"/>
        <v>34200</v>
      </c>
      <c r="S46" s="188">
        <v>0</v>
      </c>
      <c r="T46" s="188">
        <v>0</v>
      </c>
      <c r="U46" s="193">
        <v>0</v>
      </c>
      <c r="V46" s="189" t="s">
        <v>374</v>
      </c>
    </row>
    <row r="47" spans="1:22" ht="71.25">
      <c r="A47" s="754"/>
      <c r="B47" s="757"/>
      <c r="C47" s="760"/>
      <c r="D47" s="192" t="s">
        <v>382</v>
      </c>
      <c r="E47" s="192" t="s">
        <v>149</v>
      </c>
      <c r="F47" s="192" t="s">
        <v>78</v>
      </c>
      <c r="G47" s="192">
        <v>1</v>
      </c>
      <c r="H47" s="187">
        <v>34200</v>
      </c>
      <c r="I47" s="188">
        <v>0</v>
      </c>
      <c r="J47" s="188">
        <v>0</v>
      </c>
      <c r="K47" s="188">
        <v>0</v>
      </c>
      <c r="L47" s="188">
        <v>0</v>
      </c>
      <c r="M47" s="188">
        <v>0</v>
      </c>
      <c r="N47" s="188">
        <v>0</v>
      </c>
      <c r="O47" s="188">
        <v>0</v>
      </c>
      <c r="P47" s="188">
        <v>0</v>
      </c>
      <c r="Q47" s="188">
        <v>0</v>
      </c>
      <c r="R47" s="187">
        <f t="shared" si="2"/>
        <v>34200</v>
      </c>
      <c r="S47" s="188">
        <v>0</v>
      </c>
      <c r="T47" s="188">
        <v>0</v>
      </c>
      <c r="U47" s="193">
        <v>0</v>
      </c>
      <c r="V47" s="189" t="s">
        <v>374</v>
      </c>
    </row>
    <row r="48" spans="1:22" ht="61.5" customHeight="1">
      <c r="A48" s="755"/>
      <c r="B48" s="758"/>
      <c r="C48" s="761"/>
      <c r="D48" s="192" t="s">
        <v>383</v>
      </c>
      <c r="E48" s="192" t="s">
        <v>149</v>
      </c>
      <c r="F48" s="192" t="s">
        <v>384</v>
      </c>
      <c r="G48" s="192">
        <v>4</v>
      </c>
      <c r="H48" s="187">
        <v>2100</v>
      </c>
      <c r="I48" s="188">
        <v>0</v>
      </c>
      <c r="J48" s="188">
        <v>0</v>
      </c>
      <c r="K48" s="188">
        <v>0</v>
      </c>
      <c r="L48" s="188">
        <v>0</v>
      </c>
      <c r="M48" s="188">
        <v>0</v>
      </c>
      <c r="N48" s="188">
        <v>0</v>
      </c>
      <c r="O48" s="188">
        <v>0</v>
      </c>
      <c r="P48" s="188">
        <v>0</v>
      </c>
      <c r="Q48" s="188">
        <v>0</v>
      </c>
      <c r="R48" s="187">
        <f t="shared" si="2"/>
        <v>8400</v>
      </c>
      <c r="S48" s="188">
        <v>0</v>
      </c>
      <c r="T48" s="188">
        <v>0</v>
      </c>
      <c r="U48" s="193">
        <v>0</v>
      </c>
      <c r="V48" s="189" t="s">
        <v>385</v>
      </c>
    </row>
    <row r="49" spans="1:44" s="91" customFormat="1" ht="71.25">
      <c r="A49" s="206" t="s">
        <v>332</v>
      </c>
      <c r="B49" s="206" t="s">
        <v>335</v>
      </c>
      <c r="C49" s="207" t="s">
        <v>298</v>
      </c>
      <c r="D49" s="175" t="s">
        <v>386</v>
      </c>
      <c r="E49" s="175" t="s">
        <v>188</v>
      </c>
      <c r="F49" s="175" t="s">
        <v>300</v>
      </c>
      <c r="G49" s="175">
        <v>110</v>
      </c>
      <c r="H49" s="176">
        <v>300</v>
      </c>
      <c r="I49" s="177">
        <v>0</v>
      </c>
      <c r="J49" s="176">
        <v>3800</v>
      </c>
      <c r="K49" s="176">
        <v>4000</v>
      </c>
      <c r="L49" s="176">
        <v>4000</v>
      </c>
      <c r="M49" s="176">
        <v>4000</v>
      </c>
      <c r="N49" s="176">
        <v>4000</v>
      </c>
      <c r="O49" s="176">
        <v>4000</v>
      </c>
      <c r="P49" s="176">
        <v>4000</v>
      </c>
      <c r="Q49" s="176">
        <v>4000</v>
      </c>
      <c r="R49" s="176">
        <v>4000</v>
      </c>
      <c r="S49" s="176">
        <v>4000</v>
      </c>
      <c r="T49" s="176">
        <v>4000</v>
      </c>
      <c r="U49" s="214">
        <v>0</v>
      </c>
      <c r="V49" s="178" t="s">
        <v>387</v>
      </c>
      <c r="W49" s="66"/>
      <c r="X49" s="66"/>
      <c r="Y49" s="66"/>
      <c r="Z49" s="66"/>
      <c r="AA49" s="66"/>
      <c r="AB49" s="66"/>
      <c r="AC49" s="66"/>
      <c r="AD49" s="66"/>
      <c r="AE49" s="66"/>
      <c r="AF49" s="66"/>
      <c r="AG49" s="66"/>
      <c r="AH49" s="66"/>
      <c r="AI49" s="66"/>
      <c r="AJ49" s="66"/>
      <c r="AK49" s="66"/>
      <c r="AL49" s="66"/>
      <c r="AM49" s="66"/>
      <c r="AN49" s="66"/>
      <c r="AO49" s="66"/>
      <c r="AP49" s="66"/>
      <c r="AQ49" s="66"/>
      <c r="AR49" s="66"/>
    </row>
    <row r="50" spans="1:44" ht="15.75">
      <c r="A50" s="208"/>
      <c r="B50" s="208"/>
      <c r="C50" s="208"/>
      <c r="D50" s="208"/>
      <c r="E50" s="209"/>
      <c r="F50" s="746" t="s">
        <v>388</v>
      </c>
      <c r="G50" s="747"/>
      <c r="H50" s="748"/>
      <c r="I50" s="210">
        <f t="shared" ref="I50:U50" si="3">SUM(I17:I49)</f>
        <v>0</v>
      </c>
      <c r="J50" s="211">
        <f t="shared" si="3"/>
        <v>39800</v>
      </c>
      <c r="K50" s="211">
        <f t="shared" si="3"/>
        <v>40000</v>
      </c>
      <c r="L50" s="211">
        <f t="shared" si="3"/>
        <v>102050</v>
      </c>
      <c r="M50" s="211">
        <f t="shared" si="3"/>
        <v>53500</v>
      </c>
      <c r="N50" s="211">
        <f t="shared" si="3"/>
        <v>420600</v>
      </c>
      <c r="O50" s="211">
        <f t="shared" si="3"/>
        <v>10600</v>
      </c>
      <c r="P50" s="211">
        <f t="shared" si="3"/>
        <v>659500</v>
      </c>
      <c r="Q50" s="211">
        <f t="shared" si="3"/>
        <v>458600</v>
      </c>
      <c r="R50" s="211">
        <f t="shared" si="3"/>
        <v>915600</v>
      </c>
      <c r="S50" s="211">
        <f t="shared" si="3"/>
        <v>478800</v>
      </c>
      <c r="T50" s="211">
        <f t="shared" si="3"/>
        <v>7600</v>
      </c>
      <c r="U50" s="211">
        <f t="shared" si="3"/>
        <v>2207443.7599999998</v>
      </c>
      <c r="V50" s="169"/>
    </row>
    <row r="54" spans="1:44">
      <c r="U54" s="212"/>
    </row>
  </sheetData>
  <mergeCells count="26">
    <mergeCell ref="F50:H50"/>
    <mergeCell ref="U15:U16"/>
    <mergeCell ref="V15:V16"/>
    <mergeCell ref="A17:A22"/>
    <mergeCell ref="C17:C19"/>
    <mergeCell ref="A23:A48"/>
    <mergeCell ref="B27:B48"/>
    <mergeCell ref="C27:C48"/>
    <mergeCell ref="G15:G16"/>
    <mergeCell ref="H15:H16"/>
    <mergeCell ref="I15:K15"/>
    <mergeCell ref="L15:N15"/>
    <mergeCell ref="O15:Q15"/>
    <mergeCell ref="R15:T15"/>
    <mergeCell ref="A15:A16"/>
    <mergeCell ref="B15:B16"/>
    <mergeCell ref="C15:C16"/>
    <mergeCell ref="D15:D16"/>
    <mergeCell ref="E15:E16"/>
    <mergeCell ref="F15:F16"/>
    <mergeCell ref="A8:V8"/>
    <mergeCell ref="A9:V9"/>
    <mergeCell ref="A10:V10"/>
    <mergeCell ref="B11:V11"/>
    <mergeCell ref="B12:V12"/>
    <mergeCell ref="B13:V13"/>
  </mergeCells>
  <pageMargins left="0.7" right="0.7" top="0.75" bottom="0.75" header="0.3" footer="0.3"/>
  <ignoredErrors>
    <ignoredError sqref="U17:U18 U26"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BB07A-2832-48E8-A821-7E4ED762D39D}">
  <dimension ref="A7:T25"/>
  <sheetViews>
    <sheetView showGridLines="0" topLeftCell="A17" workbookViewId="0">
      <selection activeCell="E26" sqref="E26"/>
    </sheetView>
  </sheetViews>
  <sheetFormatPr defaultColWidth="11.42578125" defaultRowHeight="14.25"/>
  <cols>
    <col min="1" max="1" width="42.140625" style="64" customWidth="1"/>
    <col min="2" max="2" width="29.7109375" style="27" bestFit="1" customWidth="1"/>
    <col min="3" max="3" width="29.28515625" style="64" bestFit="1" customWidth="1"/>
    <col min="4" max="4" width="16.42578125" style="27" bestFit="1" customWidth="1"/>
    <col min="5" max="5" width="12.42578125" style="27" customWidth="1"/>
    <col min="6" max="6" width="34.85546875" style="64" customWidth="1"/>
    <col min="7" max="7" width="8" style="27" customWidth="1"/>
    <col min="8" max="8" width="10" style="27" customWidth="1"/>
    <col min="9" max="9" width="8.5703125" style="27" customWidth="1"/>
    <col min="10" max="10" width="6.7109375" style="27" customWidth="1"/>
    <col min="11" max="11" width="7.5703125" style="27" customWidth="1"/>
    <col min="12" max="12" width="7" style="27" bestFit="1" customWidth="1"/>
    <col min="13" max="13" width="6.42578125" style="27" bestFit="1" customWidth="1"/>
    <col min="14" max="14" width="10.42578125" style="27" customWidth="1"/>
    <col min="15" max="15" width="15" style="27" customWidth="1"/>
    <col min="16" max="16" width="10.5703125" style="27" customWidth="1"/>
    <col min="17" max="17" width="14.28515625" style="27" customWidth="1"/>
    <col min="18" max="18" width="13.42578125" style="27" customWidth="1"/>
    <col min="19" max="19" width="17.28515625" style="27" bestFit="1" customWidth="1"/>
    <col min="20" max="20" width="21.5703125" style="27" customWidth="1"/>
    <col min="21" max="16384" width="11.42578125" style="27"/>
  </cols>
  <sheetData>
    <row r="7" spans="1:20" ht="20.25">
      <c r="A7" s="698" t="s">
        <v>60</v>
      </c>
      <c r="B7" s="698"/>
      <c r="C7" s="698"/>
      <c r="D7" s="698"/>
      <c r="E7" s="698"/>
      <c r="F7" s="698"/>
      <c r="G7" s="698"/>
      <c r="H7" s="698"/>
      <c r="I7" s="698"/>
      <c r="J7" s="698"/>
      <c r="K7" s="698"/>
      <c r="L7" s="698"/>
      <c r="M7" s="698"/>
      <c r="N7" s="698"/>
      <c r="O7" s="698"/>
      <c r="P7" s="698"/>
      <c r="Q7" s="698"/>
      <c r="R7" s="698"/>
      <c r="S7" s="698"/>
      <c r="T7" s="698"/>
    </row>
    <row r="8" spans="1:20" ht="20.25">
      <c r="A8" s="698" t="s">
        <v>61</v>
      </c>
      <c r="B8" s="698"/>
      <c r="C8" s="698"/>
      <c r="D8" s="698"/>
      <c r="E8" s="698"/>
      <c r="F8" s="698"/>
      <c r="G8" s="698"/>
      <c r="H8" s="698"/>
      <c r="I8" s="698"/>
      <c r="J8" s="698"/>
      <c r="K8" s="698"/>
      <c r="L8" s="698"/>
      <c r="M8" s="698"/>
      <c r="N8" s="698"/>
      <c r="O8" s="698"/>
      <c r="P8" s="698"/>
      <c r="Q8" s="698"/>
      <c r="R8" s="698"/>
      <c r="S8" s="698"/>
      <c r="T8" s="698"/>
    </row>
    <row r="9" spans="1:20" ht="20.25">
      <c r="A9" s="48"/>
      <c r="B9" s="49"/>
      <c r="C9" s="48"/>
      <c r="D9" s="49"/>
      <c r="E9" s="49"/>
      <c r="F9" s="48"/>
      <c r="G9" s="49"/>
      <c r="H9" s="49"/>
      <c r="I9" s="49"/>
      <c r="J9" s="49"/>
      <c r="K9" s="49"/>
      <c r="L9" s="49"/>
      <c r="M9" s="49"/>
      <c r="N9" s="49"/>
      <c r="O9" s="49"/>
      <c r="P9" s="49"/>
      <c r="Q9" s="49"/>
      <c r="R9" s="49"/>
      <c r="S9" s="49"/>
      <c r="T9" s="49"/>
    </row>
    <row r="10" spans="1:20" ht="20.25">
      <c r="A10" s="50" t="s">
        <v>62</v>
      </c>
      <c r="B10" s="699" t="s">
        <v>421</v>
      </c>
      <c r="C10" s="699"/>
      <c r="D10" s="699"/>
      <c r="E10" s="699"/>
      <c r="F10" s="699"/>
      <c r="G10" s="699"/>
      <c r="H10" s="699"/>
      <c r="I10" s="699"/>
      <c r="J10" s="699"/>
      <c r="K10" s="699"/>
      <c r="L10" s="699"/>
      <c r="M10" s="699"/>
      <c r="N10" s="699"/>
      <c r="O10" s="699"/>
      <c r="P10" s="699"/>
      <c r="Q10" s="699"/>
      <c r="R10" s="699"/>
      <c r="S10" s="699"/>
      <c r="T10" s="699"/>
    </row>
    <row r="11" spans="1:20" ht="20.25">
      <c r="A11" s="50" t="s">
        <v>63</v>
      </c>
      <c r="B11" s="699" t="s">
        <v>389</v>
      </c>
      <c r="C11" s="699"/>
      <c r="D11" s="699"/>
      <c r="E11" s="699"/>
      <c r="F11" s="699"/>
      <c r="G11" s="699"/>
      <c r="H11" s="699"/>
      <c r="I11" s="699"/>
      <c r="J11" s="699"/>
      <c r="K11" s="699"/>
      <c r="L11" s="699"/>
      <c r="M11" s="699"/>
      <c r="N11" s="699"/>
      <c r="O11" s="699"/>
      <c r="P11" s="699"/>
      <c r="Q11" s="699"/>
      <c r="R11" s="699"/>
      <c r="S11" s="699"/>
      <c r="T11" s="699"/>
    </row>
    <row r="12" spans="1:20" ht="20.25">
      <c r="A12" s="50" t="s">
        <v>65</v>
      </c>
      <c r="B12" s="700" t="s">
        <v>390</v>
      </c>
      <c r="C12" s="701"/>
      <c r="D12" s="701"/>
      <c r="E12" s="701"/>
      <c r="F12" s="701"/>
      <c r="G12" s="701"/>
      <c r="H12" s="701"/>
      <c r="I12" s="701"/>
      <c r="J12" s="701"/>
      <c r="K12" s="701"/>
      <c r="L12" s="701"/>
      <c r="M12" s="701"/>
      <c r="N12" s="701"/>
      <c r="O12" s="701"/>
      <c r="P12" s="701"/>
      <c r="Q12" s="701"/>
      <c r="R12" s="701"/>
      <c r="S12" s="701"/>
      <c r="T12" s="702"/>
    </row>
    <row r="14" spans="1:20" ht="15">
      <c r="A14" s="708" t="s">
        <v>66</v>
      </c>
      <c r="B14" s="708" t="s">
        <v>67</v>
      </c>
      <c r="C14" s="708" t="s">
        <v>68</v>
      </c>
      <c r="D14" s="710" t="s">
        <v>69</v>
      </c>
      <c r="E14" s="710"/>
      <c r="F14" s="696" t="s">
        <v>70</v>
      </c>
      <c r="G14" s="697" t="s">
        <v>71</v>
      </c>
      <c r="H14" s="697"/>
      <c r="I14" s="697"/>
      <c r="J14" s="697" t="s">
        <v>72</v>
      </c>
      <c r="K14" s="697"/>
      <c r="L14" s="697"/>
      <c r="M14" s="697" t="s">
        <v>73</v>
      </c>
      <c r="N14" s="697"/>
      <c r="O14" s="697"/>
      <c r="P14" s="697" t="s">
        <v>74</v>
      </c>
      <c r="Q14" s="697"/>
      <c r="R14" s="697"/>
      <c r="S14" s="696" t="s">
        <v>75</v>
      </c>
      <c r="T14" s="696" t="s">
        <v>76</v>
      </c>
    </row>
    <row r="15" spans="1:20" s="53" customFormat="1" ht="30">
      <c r="A15" s="709"/>
      <c r="B15" s="709"/>
      <c r="C15" s="709"/>
      <c r="D15" s="51" t="s">
        <v>77</v>
      </c>
      <c r="E15" s="51" t="s">
        <v>78</v>
      </c>
      <c r="F15" s="696"/>
      <c r="G15" s="52" t="s">
        <v>79</v>
      </c>
      <c r="H15" s="52" t="s">
        <v>80</v>
      </c>
      <c r="I15" s="52" t="s">
        <v>81</v>
      </c>
      <c r="J15" s="52" t="s">
        <v>82</v>
      </c>
      <c r="K15" s="52" t="s">
        <v>83</v>
      </c>
      <c r="L15" s="52" t="s">
        <v>84</v>
      </c>
      <c r="M15" s="52" t="s">
        <v>85</v>
      </c>
      <c r="N15" s="52" t="s">
        <v>86</v>
      </c>
      <c r="O15" s="52" t="s">
        <v>87</v>
      </c>
      <c r="P15" s="52" t="s">
        <v>88</v>
      </c>
      <c r="Q15" s="52" t="s">
        <v>89</v>
      </c>
      <c r="R15" s="52" t="s">
        <v>90</v>
      </c>
      <c r="S15" s="696"/>
      <c r="T15" s="696"/>
    </row>
    <row r="16" spans="1:20" ht="85.5">
      <c r="A16" s="706" t="s">
        <v>391</v>
      </c>
      <c r="B16" s="34" t="s">
        <v>392</v>
      </c>
      <c r="C16" s="34" t="s">
        <v>393</v>
      </c>
      <c r="D16" s="36" t="s">
        <v>170</v>
      </c>
      <c r="E16" s="67">
        <v>1</v>
      </c>
      <c r="F16" s="34" t="s">
        <v>394</v>
      </c>
      <c r="G16" s="67">
        <v>0.08</v>
      </c>
      <c r="H16" s="67">
        <v>0.08</v>
      </c>
      <c r="I16" s="67">
        <v>0.08</v>
      </c>
      <c r="J16" s="67">
        <v>0.08</v>
      </c>
      <c r="K16" s="67">
        <v>0.08</v>
      </c>
      <c r="L16" s="67">
        <v>0.08</v>
      </c>
      <c r="M16" s="67">
        <v>0.08</v>
      </c>
      <c r="N16" s="67">
        <v>0.08</v>
      </c>
      <c r="O16" s="67">
        <v>0.08</v>
      </c>
      <c r="P16" s="67">
        <v>0.08</v>
      </c>
      <c r="Q16" s="67">
        <v>0.08</v>
      </c>
      <c r="R16" s="67">
        <v>0.08</v>
      </c>
      <c r="S16" s="762">
        <f>SUM('[3]Presupuesto Adm. y Fin.'!$T$17:$T$42)</f>
        <v>9065100</v>
      </c>
      <c r="T16" s="765" t="s">
        <v>395</v>
      </c>
    </row>
    <row r="17" spans="1:20" ht="85.5">
      <c r="A17" s="716"/>
      <c r="B17" s="34" t="s">
        <v>396</v>
      </c>
      <c r="C17" s="34" t="s">
        <v>393</v>
      </c>
      <c r="D17" s="36" t="s">
        <v>170</v>
      </c>
      <c r="E17" s="67">
        <v>1</v>
      </c>
      <c r="F17" s="34" t="s">
        <v>397</v>
      </c>
      <c r="G17" s="67">
        <v>0.08</v>
      </c>
      <c r="H17" s="67">
        <v>0.08</v>
      </c>
      <c r="I17" s="67">
        <v>0.08</v>
      </c>
      <c r="J17" s="67">
        <v>0.08</v>
      </c>
      <c r="K17" s="67">
        <v>0.08</v>
      </c>
      <c r="L17" s="67">
        <v>0.08</v>
      </c>
      <c r="M17" s="67">
        <v>0.08</v>
      </c>
      <c r="N17" s="67">
        <v>0.08</v>
      </c>
      <c r="O17" s="67">
        <v>0.08</v>
      </c>
      <c r="P17" s="67">
        <v>0.08</v>
      </c>
      <c r="Q17" s="67">
        <v>0.08</v>
      </c>
      <c r="R17" s="67">
        <v>0.08</v>
      </c>
      <c r="S17" s="763"/>
      <c r="T17" s="766"/>
    </row>
    <row r="18" spans="1:20" ht="85.5">
      <c r="A18" s="707"/>
      <c r="B18" s="34" t="s">
        <v>398</v>
      </c>
      <c r="C18" s="34" t="s">
        <v>393</v>
      </c>
      <c r="D18" s="36" t="s">
        <v>170</v>
      </c>
      <c r="E18" s="67">
        <v>0.9</v>
      </c>
      <c r="F18" s="34" t="s">
        <v>399</v>
      </c>
      <c r="G18" s="36"/>
      <c r="H18" s="36"/>
      <c r="I18" s="67">
        <v>0.9</v>
      </c>
      <c r="J18" s="36"/>
      <c r="K18" s="36"/>
      <c r="L18" s="67">
        <v>0.9</v>
      </c>
      <c r="M18" s="36"/>
      <c r="N18" s="36"/>
      <c r="O18" s="67">
        <v>0.9</v>
      </c>
      <c r="P18" s="36"/>
      <c r="Q18" s="36"/>
      <c r="R18" s="67">
        <v>0.9</v>
      </c>
      <c r="S18" s="764"/>
      <c r="T18" s="767"/>
    </row>
    <row r="19" spans="1:20" ht="42.75">
      <c r="A19" s="30" t="s">
        <v>400</v>
      </c>
      <c r="B19" s="30" t="s">
        <v>401</v>
      </c>
      <c r="C19" s="215" t="s">
        <v>402</v>
      </c>
      <c r="D19" s="32" t="s">
        <v>170</v>
      </c>
      <c r="E19" s="216">
        <v>1</v>
      </c>
      <c r="F19" s="30" t="s">
        <v>403</v>
      </c>
      <c r="G19" s="32"/>
      <c r="H19" s="32"/>
      <c r="I19" s="32"/>
      <c r="J19" s="32"/>
      <c r="K19" s="32"/>
      <c r="L19" s="216">
        <v>1</v>
      </c>
      <c r="M19" s="32"/>
      <c r="N19" s="32"/>
      <c r="O19" s="32"/>
      <c r="P19" s="32"/>
      <c r="Q19" s="32"/>
      <c r="R19" s="216">
        <v>1</v>
      </c>
      <c r="S19" s="31">
        <f>'[3]Presupuesto Adm. y Fin.'!$T$43</f>
        <v>35000</v>
      </c>
      <c r="T19" s="217" t="s">
        <v>395</v>
      </c>
    </row>
    <row r="20" spans="1:20" ht="99.75">
      <c r="A20" s="34" t="s">
        <v>404</v>
      </c>
      <c r="B20" s="34" t="s">
        <v>405</v>
      </c>
      <c r="C20" s="34" t="s">
        <v>406</v>
      </c>
      <c r="D20" s="55" t="s">
        <v>78</v>
      </c>
      <c r="E20" s="55">
        <v>12</v>
      </c>
      <c r="F20" s="34" t="s">
        <v>407</v>
      </c>
      <c r="G20" s="55">
        <v>1</v>
      </c>
      <c r="H20" s="55">
        <v>1</v>
      </c>
      <c r="I20" s="55">
        <v>1</v>
      </c>
      <c r="J20" s="55">
        <v>1</v>
      </c>
      <c r="K20" s="55">
        <v>1</v>
      </c>
      <c r="L20" s="55">
        <v>1</v>
      </c>
      <c r="M20" s="55">
        <v>1</v>
      </c>
      <c r="N20" s="55">
        <v>1</v>
      </c>
      <c r="O20" s="55">
        <v>1</v>
      </c>
      <c r="P20" s="55">
        <v>1</v>
      </c>
      <c r="Q20" s="55">
        <v>1</v>
      </c>
      <c r="R20" s="55">
        <v>1</v>
      </c>
      <c r="S20" s="218">
        <v>0</v>
      </c>
      <c r="T20" s="55" t="s">
        <v>304</v>
      </c>
    </row>
    <row r="21" spans="1:20" ht="42.75">
      <c r="A21" s="219" t="s">
        <v>408</v>
      </c>
      <c r="B21" s="57" t="s">
        <v>409</v>
      </c>
      <c r="C21" s="57" t="s">
        <v>410</v>
      </c>
      <c r="D21" s="59" t="s">
        <v>78</v>
      </c>
      <c r="E21" s="59">
        <v>20</v>
      </c>
      <c r="F21" s="57" t="s">
        <v>411</v>
      </c>
      <c r="G21" s="59"/>
      <c r="H21" s="59"/>
      <c r="I21" s="59"/>
      <c r="J21" s="59"/>
      <c r="K21" s="59"/>
      <c r="L21" s="59">
        <v>10</v>
      </c>
      <c r="M21" s="59"/>
      <c r="N21" s="59"/>
      <c r="O21" s="59"/>
      <c r="P21" s="59"/>
      <c r="Q21" s="59"/>
      <c r="R21" s="59">
        <v>10</v>
      </c>
      <c r="S21" s="220">
        <f>'5- Presupuesto Adm. y Fin.'!U49</f>
        <v>35000</v>
      </c>
      <c r="T21" s="96" t="s">
        <v>412</v>
      </c>
    </row>
    <row r="22" spans="1:20" ht="28.5">
      <c r="A22" s="717" t="s">
        <v>413</v>
      </c>
      <c r="B22" s="717" t="s">
        <v>414</v>
      </c>
      <c r="C22" s="717" t="s">
        <v>415</v>
      </c>
      <c r="D22" s="768" t="s">
        <v>170</v>
      </c>
      <c r="E22" s="769">
        <v>0.9</v>
      </c>
      <c r="F22" s="34" t="s">
        <v>416</v>
      </c>
      <c r="G22" s="55"/>
      <c r="H22" s="55"/>
      <c r="I22" s="138">
        <v>0.9</v>
      </c>
      <c r="J22" s="55"/>
      <c r="K22" s="55"/>
      <c r="L22" s="138">
        <v>0.9</v>
      </c>
      <c r="M22" s="55"/>
      <c r="N22" s="55"/>
      <c r="O22" s="138">
        <v>0.9</v>
      </c>
      <c r="P22" s="138"/>
      <c r="Q22" s="138"/>
      <c r="R22" s="138">
        <v>0.9</v>
      </c>
      <c r="S22" s="762">
        <f>'5- Presupuesto Adm. y Fin.'!U19</f>
        <v>600000</v>
      </c>
      <c r="T22" s="765" t="s">
        <v>417</v>
      </c>
    </row>
    <row r="23" spans="1:20" ht="42.75">
      <c r="A23" s="717"/>
      <c r="B23" s="717"/>
      <c r="C23" s="717"/>
      <c r="D23" s="768"/>
      <c r="E23" s="769"/>
      <c r="F23" s="34" t="s">
        <v>418</v>
      </c>
      <c r="G23" s="55"/>
      <c r="H23" s="55"/>
      <c r="I23" s="138">
        <v>0.9</v>
      </c>
      <c r="J23" s="55"/>
      <c r="K23" s="55"/>
      <c r="L23" s="138">
        <v>0.9</v>
      </c>
      <c r="M23" s="55"/>
      <c r="N23" s="55"/>
      <c r="O23" s="138">
        <v>0.9</v>
      </c>
      <c r="P23" s="138"/>
      <c r="Q23" s="138"/>
      <c r="R23" s="138">
        <v>0.9</v>
      </c>
      <c r="S23" s="763"/>
      <c r="T23" s="766"/>
    </row>
    <row r="24" spans="1:20" ht="28.5">
      <c r="A24" s="717"/>
      <c r="B24" s="717"/>
      <c r="C24" s="717"/>
      <c r="D24" s="768"/>
      <c r="E24" s="769"/>
      <c r="F24" s="34" t="s">
        <v>419</v>
      </c>
      <c r="G24" s="55"/>
      <c r="H24" s="55"/>
      <c r="I24" s="138">
        <v>0.9</v>
      </c>
      <c r="J24" s="55"/>
      <c r="K24" s="55"/>
      <c r="L24" s="138">
        <v>0.9</v>
      </c>
      <c r="M24" s="55"/>
      <c r="N24" s="55"/>
      <c r="O24" s="138">
        <v>0.9</v>
      </c>
      <c r="P24" s="138"/>
      <c r="Q24" s="138"/>
      <c r="R24" s="138">
        <v>0.9</v>
      </c>
      <c r="S24" s="763"/>
      <c r="T24" s="766"/>
    </row>
    <row r="25" spans="1:20" ht="42.75">
      <c r="A25" s="717"/>
      <c r="B25" s="717"/>
      <c r="C25" s="717"/>
      <c r="D25" s="768"/>
      <c r="E25" s="769"/>
      <c r="F25" s="34" t="s">
        <v>420</v>
      </c>
      <c r="G25" s="55"/>
      <c r="H25" s="55"/>
      <c r="I25" s="138">
        <v>0.9</v>
      </c>
      <c r="J25" s="55"/>
      <c r="K25" s="55"/>
      <c r="L25" s="138">
        <v>0.9</v>
      </c>
      <c r="M25" s="55"/>
      <c r="N25" s="55"/>
      <c r="O25" s="138">
        <v>0.9</v>
      </c>
      <c r="P25" s="138"/>
      <c r="Q25" s="138"/>
      <c r="R25" s="138">
        <v>0.9</v>
      </c>
      <c r="S25" s="764"/>
      <c r="T25" s="767"/>
    </row>
  </sheetData>
  <mergeCells count="26">
    <mergeCell ref="A16:A18"/>
    <mergeCell ref="S16:S18"/>
    <mergeCell ref="T16:T18"/>
    <mergeCell ref="A22:A25"/>
    <mergeCell ref="B22:B25"/>
    <mergeCell ref="C22:C25"/>
    <mergeCell ref="D22:D25"/>
    <mergeCell ref="E22:E25"/>
    <mergeCell ref="S22:S25"/>
    <mergeCell ref="T22:T25"/>
    <mergeCell ref="T14:T15"/>
    <mergeCell ref="A7:T7"/>
    <mergeCell ref="A8:T8"/>
    <mergeCell ref="B10:T10"/>
    <mergeCell ref="B11:T11"/>
    <mergeCell ref="B12:T12"/>
    <mergeCell ref="A14:A15"/>
    <mergeCell ref="B14:B15"/>
    <mergeCell ref="C14:C15"/>
    <mergeCell ref="D14:E14"/>
    <mergeCell ref="F14:F15"/>
    <mergeCell ref="G14:I14"/>
    <mergeCell ref="J14:L14"/>
    <mergeCell ref="M14:O14"/>
    <mergeCell ref="P14:R14"/>
    <mergeCell ref="S14:S1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3E38C-9613-458A-9B3D-C40F88D3234B}">
  <dimension ref="A8:V73"/>
  <sheetViews>
    <sheetView showGridLines="0" workbookViewId="0">
      <selection activeCell="A15" sqref="A15:A16"/>
    </sheetView>
  </sheetViews>
  <sheetFormatPr defaultColWidth="57.42578125" defaultRowHeight="14.25"/>
  <cols>
    <col min="1" max="1" width="42.42578125" style="64" customWidth="1"/>
    <col min="2" max="2" width="34.42578125" style="27" customWidth="1"/>
    <col min="3" max="3" width="21.42578125" style="64" customWidth="1"/>
    <col min="4" max="4" width="27.7109375" style="27" customWidth="1"/>
    <col min="5" max="5" width="12.7109375" style="47" customWidth="1"/>
    <col min="6" max="6" width="23.7109375" style="27" bestFit="1" customWidth="1"/>
    <col min="7" max="7" width="12.85546875" style="27" bestFit="1" customWidth="1"/>
    <col min="8" max="8" width="18.140625" style="78" customWidth="1"/>
    <col min="9" max="9" width="9" style="27" bestFit="1" customWidth="1"/>
    <col min="10" max="10" width="11.42578125" style="27" bestFit="1" customWidth="1"/>
    <col min="11" max="11" width="16.28515625" style="27" bestFit="1" customWidth="1"/>
    <col min="12" max="12" width="12.7109375" style="27" bestFit="1" customWidth="1"/>
    <col min="13" max="13" width="11" style="27" customWidth="1"/>
    <col min="14" max="14" width="16.42578125" style="27" bestFit="1" customWidth="1"/>
    <col min="15" max="15" width="12.7109375" style="27" bestFit="1" customWidth="1"/>
    <col min="16" max="16" width="9.7109375" style="27" bestFit="1" customWidth="1"/>
    <col min="17" max="17" width="20.7109375" style="27" customWidth="1"/>
    <col min="18" max="18" width="11" style="27" bestFit="1" customWidth="1"/>
    <col min="19" max="19" width="14" style="27" customWidth="1"/>
    <col min="20" max="20" width="15.7109375" style="27" bestFit="1" customWidth="1"/>
    <col min="21" max="21" width="20.42578125" style="27" bestFit="1" customWidth="1"/>
    <col min="22" max="22" width="20.7109375" style="65" customWidth="1"/>
    <col min="23" max="16384" width="57.42578125" style="27"/>
  </cols>
  <sheetData>
    <row r="8" spans="1:22" ht="20.25">
      <c r="A8" s="698" t="s">
        <v>60</v>
      </c>
      <c r="B8" s="698"/>
      <c r="C8" s="698"/>
      <c r="D8" s="698"/>
      <c r="E8" s="698"/>
      <c r="F8" s="698"/>
      <c r="G8" s="698"/>
      <c r="H8" s="698"/>
      <c r="I8" s="698"/>
      <c r="J8" s="698"/>
      <c r="K8" s="698"/>
      <c r="L8" s="698"/>
      <c r="M8" s="698"/>
      <c r="N8" s="698"/>
      <c r="O8" s="698"/>
      <c r="P8" s="698"/>
      <c r="Q8" s="698"/>
      <c r="R8" s="698"/>
      <c r="S8" s="698"/>
      <c r="T8" s="698"/>
      <c r="U8" s="698"/>
      <c r="V8" s="698"/>
    </row>
    <row r="9" spans="1:22" ht="20.25">
      <c r="A9" s="698" t="s">
        <v>61</v>
      </c>
      <c r="B9" s="698"/>
      <c r="C9" s="698"/>
      <c r="D9" s="698"/>
      <c r="E9" s="698"/>
      <c r="F9" s="698"/>
      <c r="G9" s="698"/>
      <c r="H9" s="698"/>
      <c r="I9" s="698"/>
      <c r="J9" s="698"/>
      <c r="K9" s="698"/>
      <c r="L9" s="698"/>
      <c r="M9" s="698"/>
      <c r="N9" s="698"/>
      <c r="O9" s="698"/>
      <c r="P9" s="698"/>
      <c r="Q9" s="698"/>
      <c r="R9" s="698"/>
      <c r="S9" s="698"/>
      <c r="T9" s="698"/>
      <c r="U9" s="698"/>
      <c r="V9" s="698"/>
    </row>
    <row r="10" spans="1:22" ht="20.25">
      <c r="A10" s="698" t="s">
        <v>137</v>
      </c>
      <c r="B10" s="698"/>
      <c r="C10" s="698"/>
      <c r="D10" s="698"/>
      <c r="E10" s="698"/>
      <c r="F10" s="698"/>
      <c r="G10" s="698"/>
      <c r="H10" s="698"/>
      <c r="I10" s="698"/>
      <c r="J10" s="698"/>
      <c r="K10" s="698"/>
      <c r="L10" s="698"/>
      <c r="M10" s="698"/>
      <c r="N10" s="698"/>
      <c r="O10" s="698"/>
      <c r="P10" s="698"/>
      <c r="Q10" s="698"/>
      <c r="R10" s="698"/>
      <c r="S10" s="698"/>
      <c r="T10" s="698"/>
      <c r="U10" s="698"/>
      <c r="V10" s="698"/>
    </row>
    <row r="11" spans="1:22" ht="20.25">
      <c r="A11" s="50" t="s">
        <v>62</v>
      </c>
      <c r="B11" s="699" t="s">
        <v>421</v>
      </c>
      <c r="C11" s="699"/>
      <c r="D11" s="699"/>
      <c r="E11" s="699"/>
      <c r="F11" s="699"/>
      <c r="G11" s="699"/>
      <c r="H11" s="699"/>
      <c r="I11" s="699"/>
      <c r="J11" s="699"/>
      <c r="K11" s="699"/>
      <c r="L11" s="699"/>
      <c r="M11" s="699"/>
      <c r="N11" s="699"/>
      <c r="O11" s="699"/>
      <c r="P11" s="699"/>
      <c r="Q11" s="699"/>
      <c r="R11" s="699"/>
      <c r="S11" s="699"/>
      <c r="T11" s="699"/>
      <c r="U11" s="699"/>
      <c r="V11" s="699"/>
    </row>
    <row r="12" spans="1:22" ht="20.25">
      <c r="A12" s="50" t="s">
        <v>63</v>
      </c>
      <c r="B12" s="699" t="s">
        <v>389</v>
      </c>
      <c r="C12" s="699"/>
      <c r="D12" s="699"/>
      <c r="E12" s="699"/>
      <c r="F12" s="699"/>
      <c r="G12" s="699"/>
      <c r="H12" s="699"/>
      <c r="I12" s="699"/>
      <c r="J12" s="699"/>
      <c r="K12" s="699"/>
      <c r="L12" s="699"/>
      <c r="M12" s="699"/>
      <c r="N12" s="699"/>
      <c r="O12" s="699"/>
      <c r="P12" s="699"/>
      <c r="Q12" s="699"/>
      <c r="R12" s="699"/>
      <c r="S12" s="699"/>
      <c r="T12" s="699"/>
      <c r="U12" s="699"/>
      <c r="V12" s="699"/>
    </row>
    <row r="13" spans="1:22" ht="20.25">
      <c r="A13" s="50" t="s">
        <v>65</v>
      </c>
      <c r="B13" s="700" t="s">
        <v>422</v>
      </c>
      <c r="C13" s="701"/>
      <c r="D13" s="701"/>
      <c r="E13" s="701"/>
      <c r="F13" s="701"/>
      <c r="G13" s="701"/>
      <c r="H13" s="701"/>
      <c r="I13" s="701"/>
      <c r="J13" s="701"/>
      <c r="K13" s="701"/>
      <c r="L13" s="701"/>
      <c r="M13" s="701"/>
      <c r="N13" s="701"/>
      <c r="O13" s="701"/>
      <c r="P13" s="701"/>
      <c r="Q13" s="701"/>
      <c r="R13" s="701"/>
      <c r="S13" s="701"/>
      <c r="T13" s="701"/>
      <c r="U13" s="701"/>
      <c r="V13" s="702"/>
    </row>
    <row r="14" spans="1:22" ht="6.75" customHeight="1"/>
    <row r="15" spans="1:22" ht="15">
      <c r="A15" s="770" t="s">
        <v>66</v>
      </c>
      <c r="B15" s="696" t="s">
        <v>70</v>
      </c>
      <c r="C15" s="696" t="s">
        <v>23</v>
      </c>
      <c r="D15" s="696" t="s">
        <v>139</v>
      </c>
      <c r="E15" s="714" t="s">
        <v>184</v>
      </c>
      <c r="F15" s="696" t="s">
        <v>141</v>
      </c>
      <c r="G15" s="696" t="s">
        <v>101</v>
      </c>
      <c r="H15" s="696" t="s">
        <v>142</v>
      </c>
      <c r="I15" s="697" t="s">
        <v>71</v>
      </c>
      <c r="J15" s="697"/>
      <c r="K15" s="697"/>
      <c r="L15" s="697" t="s">
        <v>72</v>
      </c>
      <c r="M15" s="697"/>
      <c r="N15" s="697"/>
      <c r="O15" s="697" t="s">
        <v>73</v>
      </c>
      <c r="P15" s="697"/>
      <c r="Q15" s="697"/>
      <c r="R15" s="697" t="s">
        <v>74</v>
      </c>
      <c r="S15" s="697"/>
      <c r="T15" s="697"/>
      <c r="U15" s="696" t="s">
        <v>75</v>
      </c>
      <c r="V15" s="696" t="s">
        <v>185</v>
      </c>
    </row>
    <row r="16" spans="1:22" s="53" customFormat="1" ht="15">
      <c r="A16" s="770"/>
      <c r="B16" s="696"/>
      <c r="C16" s="696"/>
      <c r="D16" s="696"/>
      <c r="E16" s="715"/>
      <c r="F16" s="696"/>
      <c r="G16" s="696"/>
      <c r="H16" s="696"/>
      <c r="I16" s="51" t="s">
        <v>79</v>
      </c>
      <c r="J16" s="51" t="s">
        <v>80</v>
      </c>
      <c r="K16" s="51" t="s">
        <v>81</v>
      </c>
      <c r="L16" s="51" t="s">
        <v>82</v>
      </c>
      <c r="M16" s="51" t="s">
        <v>83</v>
      </c>
      <c r="N16" s="51" t="s">
        <v>84</v>
      </c>
      <c r="O16" s="51" t="s">
        <v>85</v>
      </c>
      <c r="P16" s="51" t="s">
        <v>86</v>
      </c>
      <c r="Q16" s="51" t="s">
        <v>87</v>
      </c>
      <c r="R16" s="51" t="s">
        <v>88</v>
      </c>
      <c r="S16" s="51" t="s">
        <v>89</v>
      </c>
      <c r="T16" s="51" t="s">
        <v>90</v>
      </c>
      <c r="U16" s="696"/>
      <c r="V16" s="696"/>
    </row>
    <row r="17" spans="1:22" ht="57" customHeight="1">
      <c r="A17" s="771" t="s">
        <v>408</v>
      </c>
      <c r="B17" s="706" t="s">
        <v>411</v>
      </c>
      <c r="C17" s="55" t="s">
        <v>298</v>
      </c>
      <c r="D17" s="54" t="s">
        <v>423</v>
      </c>
      <c r="E17" s="36" t="s">
        <v>188</v>
      </c>
      <c r="F17" s="36" t="s">
        <v>78</v>
      </c>
      <c r="G17" s="36">
        <v>18</v>
      </c>
      <c r="H17" s="35">
        <v>1750</v>
      </c>
      <c r="I17" s="62">
        <v>0</v>
      </c>
      <c r="J17" s="62">
        <v>0</v>
      </c>
      <c r="K17" s="62">
        <v>0</v>
      </c>
      <c r="L17" s="62">
        <v>0</v>
      </c>
      <c r="M17" s="62">
        <v>0</v>
      </c>
      <c r="N17" s="35">
        <v>15750</v>
      </c>
      <c r="O17" s="62">
        <v>0</v>
      </c>
      <c r="P17" s="62">
        <v>0</v>
      </c>
      <c r="Q17" s="62">
        <v>0</v>
      </c>
      <c r="R17" s="62">
        <v>0</v>
      </c>
      <c r="S17" s="62">
        <v>0</v>
      </c>
      <c r="T17" s="35">
        <f>+H17*9</f>
        <v>15750</v>
      </c>
      <c r="U17" s="35">
        <f>SUM(I17:T17)</f>
        <v>31500</v>
      </c>
      <c r="V17" s="36" t="s">
        <v>424</v>
      </c>
    </row>
    <row r="18" spans="1:22" ht="28.5" customHeight="1">
      <c r="A18" s="772"/>
      <c r="B18" s="707"/>
      <c r="C18" s="55" t="s">
        <v>298</v>
      </c>
      <c r="D18" s="54" t="s">
        <v>423</v>
      </c>
      <c r="E18" s="36" t="s">
        <v>188</v>
      </c>
      <c r="F18" s="36" t="s">
        <v>78</v>
      </c>
      <c r="G18" s="36">
        <v>4</v>
      </c>
      <c r="H18" s="35">
        <v>5800</v>
      </c>
      <c r="I18" s="62">
        <v>0</v>
      </c>
      <c r="J18" s="62">
        <v>0</v>
      </c>
      <c r="K18" s="62">
        <v>0</v>
      </c>
      <c r="L18" s="62">
        <v>0</v>
      </c>
      <c r="M18" s="62">
        <v>0</v>
      </c>
      <c r="N18" s="35">
        <v>5800</v>
      </c>
      <c r="O18" s="35">
        <v>5800</v>
      </c>
      <c r="P18" s="62">
        <v>0</v>
      </c>
      <c r="Q18" s="35">
        <v>5800</v>
      </c>
      <c r="R18" s="62">
        <v>0</v>
      </c>
      <c r="S18" s="62">
        <v>0</v>
      </c>
      <c r="T18" s="62">
        <v>0</v>
      </c>
      <c r="U18" s="35">
        <f>SUM(I18:T18)</f>
        <v>17400</v>
      </c>
      <c r="V18" s="36" t="s">
        <v>424</v>
      </c>
    </row>
    <row r="19" spans="1:22" ht="28.5">
      <c r="A19" s="221" t="s">
        <v>413</v>
      </c>
      <c r="B19" s="57" t="s">
        <v>416</v>
      </c>
      <c r="C19" s="59" t="s">
        <v>298</v>
      </c>
      <c r="D19" s="58" t="s">
        <v>425</v>
      </c>
      <c r="E19" s="60" t="s">
        <v>426</v>
      </c>
      <c r="F19" s="60" t="s">
        <v>427</v>
      </c>
      <c r="G19" s="60">
        <v>3</v>
      </c>
      <c r="H19" s="68">
        <v>200000</v>
      </c>
      <c r="I19" s="61">
        <v>0</v>
      </c>
      <c r="J19" s="61">
        <v>0</v>
      </c>
      <c r="K19" s="61">
        <v>0</v>
      </c>
      <c r="L19" s="61">
        <v>0</v>
      </c>
      <c r="M19" s="61">
        <v>0</v>
      </c>
      <c r="N19" s="68">
        <f>H19*2</f>
        <v>400000</v>
      </c>
      <c r="O19" s="61">
        <v>0</v>
      </c>
      <c r="P19" s="61">
        <v>0</v>
      </c>
      <c r="Q19" s="68">
        <f>H19</f>
        <v>200000</v>
      </c>
      <c r="R19" s="61">
        <v>0</v>
      </c>
      <c r="S19" s="61">
        <v>0</v>
      </c>
      <c r="T19" s="61">
        <v>0</v>
      </c>
      <c r="U19" s="68">
        <f>SUM(I19:T19)</f>
        <v>600000</v>
      </c>
      <c r="V19" s="60" t="s">
        <v>428</v>
      </c>
    </row>
    <row r="20" spans="1:22">
      <c r="A20" s="717" t="s">
        <v>391</v>
      </c>
      <c r="B20" s="717" t="s">
        <v>394</v>
      </c>
      <c r="C20" s="768" t="s">
        <v>298</v>
      </c>
      <c r="D20" s="54" t="s">
        <v>220</v>
      </c>
      <c r="E20" s="36" t="s">
        <v>188</v>
      </c>
      <c r="F20" s="36" t="s">
        <v>150</v>
      </c>
      <c r="G20" s="222">
        <v>36</v>
      </c>
      <c r="H20" s="223">
        <v>1750</v>
      </c>
      <c r="I20" s="62">
        <v>0</v>
      </c>
      <c r="J20" s="62">
        <v>0</v>
      </c>
      <c r="K20" s="35">
        <f>H20*8</f>
        <v>14000</v>
      </c>
      <c r="L20" s="62">
        <v>0</v>
      </c>
      <c r="M20" s="62">
        <v>0</v>
      </c>
      <c r="N20" s="35">
        <f>H20*10</f>
        <v>17500</v>
      </c>
      <c r="O20" s="62">
        <v>0</v>
      </c>
      <c r="P20" s="62">
        <v>0</v>
      </c>
      <c r="Q20" s="35">
        <f>H20*8</f>
        <v>14000</v>
      </c>
      <c r="R20" s="62">
        <v>0</v>
      </c>
      <c r="S20" s="62">
        <v>0</v>
      </c>
      <c r="T20" s="35">
        <f>H20*10</f>
        <v>17500</v>
      </c>
      <c r="U20" s="35">
        <f>SUM(I20:T20)</f>
        <v>63000</v>
      </c>
      <c r="V20" s="36" t="s">
        <v>429</v>
      </c>
    </row>
    <row r="21" spans="1:22">
      <c r="A21" s="717"/>
      <c r="B21" s="717"/>
      <c r="C21" s="768"/>
      <c r="D21" s="34" t="s">
        <v>430</v>
      </c>
      <c r="E21" s="55" t="s">
        <v>431</v>
      </c>
      <c r="F21" s="36" t="s">
        <v>427</v>
      </c>
      <c r="G21" s="36">
        <v>1</v>
      </c>
      <c r="H21" s="223">
        <v>250000</v>
      </c>
      <c r="I21" s="62">
        <v>0</v>
      </c>
      <c r="J21" s="62">
        <v>0</v>
      </c>
      <c r="K21" s="62">
        <v>0</v>
      </c>
      <c r="L21" s="62">
        <v>0</v>
      </c>
      <c r="M21" s="62">
        <v>0</v>
      </c>
      <c r="N21" s="62">
        <v>0</v>
      </c>
      <c r="O21" s="62">
        <v>0</v>
      </c>
      <c r="P21" s="62">
        <v>0</v>
      </c>
      <c r="Q21" s="62">
        <v>0</v>
      </c>
      <c r="R21" s="62">
        <v>0</v>
      </c>
      <c r="S21" s="62">
        <v>0</v>
      </c>
      <c r="T21" s="35"/>
      <c r="U21" s="35">
        <f t="shared" ref="U21:U48" si="0">+G21*H21</f>
        <v>250000</v>
      </c>
      <c r="V21" s="36" t="s">
        <v>429</v>
      </c>
    </row>
    <row r="22" spans="1:22">
      <c r="A22" s="717"/>
      <c r="B22" s="717"/>
      <c r="C22" s="768"/>
      <c r="D22" s="34" t="s">
        <v>432</v>
      </c>
      <c r="E22" s="55" t="s">
        <v>433</v>
      </c>
      <c r="F22" s="36" t="s">
        <v>427</v>
      </c>
      <c r="G22" s="36">
        <v>1</v>
      </c>
      <c r="H22" s="223">
        <v>80000</v>
      </c>
      <c r="I22" s="62">
        <v>0</v>
      </c>
      <c r="J22" s="62">
        <v>0</v>
      </c>
      <c r="K22" s="62">
        <v>0</v>
      </c>
      <c r="L22" s="62">
        <v>0</v>
      </c>
      <c r="M22" s="62">
        <v>0</v>
      </c>
      <c r="N22" s="62">
        <v>0</v>
      </c>
      <c r="O22" s="62">
        <v>0</v>
      </c>
      <c r="P22" s="62">
        <v>0</v>
      </c>
      <c r="Q22" s="62">
        <v>0</v>
      </c>
      <c r="R22" s="62">
        <v>0</v>
      </c>
      <c r="S22" s="62">
        <v>0</v>
      </c>
      <c r="T22" s="35">
        <f>H22</f>
        <v>80000</v>
      </c>
      <c r="U22" s="35">
        <f>SUM(I22:T22)</f>
        <v>80000</v>
      </c>
      <c r="V22" s="36" t="s">
        <v>429</v>
      </c>
    </row>
    <row r="23" spans="1:22">
      <c r="A23" s="717"/>
      <c r="B23" s="717"/>
      <c r="C23" s="768"/>
      <c r="D23" s="34" t="s">
        <v>434</v>
      </c>
      <c r="E23" s="55" t="s">
        <v>149</v>
      </c>
      <c r="F23" s="36" t="s">
        <v>435</v>
      </c>
      <c r="G23" s="36">
        <v>50</v>
      </c>
      <c r="H23" s="223">
        <v>6000</v>
      </c>
      <c r="I23" s="62">
        <v>0</v>
      </c>
      <c r="J23" s="62">
        <v>0</v>
      </c>
      <c r="K23" s="35">
        <f>G23*H23</f>
        <v>300000</v>
      </c>
      <c r="L23" s="62">
        <v>0</v>
      </c>
      <c r="M23" s="62">
        <v>0</v>
      </c>
      <c r="N23" s="62">
        <v>0</v>
      </c>
      <c r="O23" s="62">
        <v>0</v>
      </c>
      <c r="P23" s="62">
        <v>0</v>
      </c>
      <c r="Q23" s="62">
        <v>0</v>
      </c>
      <c r="R23" s="62">
        <v>0</v>
      </c>
      <c r="S23" s="62">
        <v>0</v>
      </c>
      <c r="T23" s="62">
        <v>0</v>
      </c>
      <c r="U23" s="35">
        <f>SUM(I23:T23)</f>
        <v>300000</v>
      </c>
      <c r="V23" s="36" t="s">
        <v>429</v>
      </c>
    </row>
    <row r="24" spans="1:22">
      <c r="A24" s="717"/>
      <c r="B24" s="717"/>
      <c r="C24" s="768"/>
      <c r="D24" s="34" t="s">
        <v>436</v>
      </c>
      <c r="E24" s="55" t="s">
        <v>437</v>
      </c>
      <c r="F24" s="36" t="s">
        <v>435</v>
      </c>
      <c r="G24" s="36">
        <v>20</v>
      </c>
      <c r="H24" s="223">
        <v>2500</v>
      </c>
      <c r="I24" s="62">
        <v>0</v>
      </c>
      <c r="J24" s="62">
        <v>0</v>
      </c>
      <c r="K24" s="62">
        <v>0</v>
      </c>
      <c r="L24" s="62">
        <v>0</v>
      </c>
      <c r="M24" s="62">
        <v>0</v>
      </c>
      <c r="N24" s="62">
        <v>0</v>
      </c>
      <c r="O24" s="62">
        <v>0</v>
      </c>
      <c r="P24" s="62">
        <v>0</v>
      </c>
      <c r="Q24" s="62">
        <v>0</v>
      </c>
      <c r="R24" s="62">
        <v>0</v>
      </c>
      <c r="S24" s="62">
        <v>0</v>
      </c>
      <c r="T24" s="62">
        <v>0</v>
      </c>
      <c r="U24" s="35">
        <f t="shared" si="0"/>
        <v>50000</v>
      </c>
      <c r="V24" s="36" t="s">
        <v>429</v>
      </c>
    </row>
    <row r="25" spans="1:22" ht="28.5">
      <c r="A25" s="717"/>
      <c r="B25" s="717"/>
      <c r="C25" s="768"/>
      <c r="D25" s="34" t="s">
        <v>438</v>
      </c>
      <c r="E25" s="55" t="s">
        <v>439</v>
      </c>
      <c r="F25" s="36" t="s">
        <v>427</v>
      </c>
      <c r="G25" s="36">
        <v>1</v>
      </c>
      <c r="H25" s="224">
        <v>25000</v>
      </c>
      <c r="I25" s="62">
        <v>0</v>
      </c>
      <c r="J25" s="62">
        <v>0</v>
      </c>
      <c r="K25" s="62">
        <v>0</v>
      </c>
      <c r="L25" s="62">
        <v>0</v>
      </c>
      <c r="M25" s="62">
        <v>0</v>
      </c>
      <c r="N25" s="62">
        <v>0</v>
      </c>
      <c r="O25" s="62">
        <v>0</v>
      </c>
      <c r="P25" s="62">
        <v>0</v>
      </c>
      <c r="Q25" s="62">
        <v>0</v>
      </c>
      <c r="R25" s="62">
        <v>0</v>
      </c>
      <c r="S25" s="62">
        <v>0</v>
      </c>
      <c r="T25" s="62">
        <v>0</v>
      </c>
      <c r="U25" s="35">
        <f t="shared" si="0"/>
        <v>25000</v>
      </c>
      <c r="V25" s="36" t="s">
        <v>429</v>
      </c>
    </row>
    <row r="26" spans="1:22" ht="28.5">
      <c r="A26" s="717"/>
      <c r="B26" s="717"/>
      <c r="C26" s="768"/>
      <c r="D26" s="34" t="s">
        <v>440</v>
      </c>
      <c r="E26" s="55" t="s">
        <v>441</v>
      </c>
      <c r="F26" s="36" t="s">
        <v>427</v>
      </c>
      <c r="G26" s="36">
        <v>2</v>
      </c>
      <c r="H26" s="223">
        <v>125000</v>
      </c>
      <c r="I26" s="62">
        <v>0</v>
      </c>
      <c r="J26" s="62">
        <v>0</v>
      </c>
      <c r="K26" s="62">
        <v>0</v>
      </c>
      <c r="L26" s="62">
        <v>0</v>
      </c>
      <c r="M26" s="62">
        <v>0</v>
      </c>
      <c r="N26" s="62">
        <v>0</v>
      </c>
      <c r="O26" s="62">
        <v>0</v>
      </c>
      <c r="P26" s="62">
        <v>0</v>
      </c>
      <c r="Q26" s="62">
        <v>0</v>
      </c>
      <c r="R26" s="62">
        <v>0</v>
      </c>
      <c r="S26" s="62">
        <v>0</v>
      </c>
      <c r="T26" s="62">
        <v>0</v>
      </c>
      <c r="U26" s="35">
        <f t="shared" si="0"/>
        <v>250000</v>
      </c>
      <c r="V26" s="36" t="s">
        <v>429</v>
      </c>
    </row>
    <row r="27" spans="1:22">
      <c r="A27" s="717"/>
      <c r="B27" s="717"/>
      <c r="C27" s="768"/>
      <c r="D27" s="34" t="s">
        <v>442</v>
      </c>
      <c r="E27" s="55" t="s">
        <v>443</v>
      </c>
      <c r="F27" s="36" t="s">
        <v>444</v>
      </c>
      <c r="G27" s="36">
        <v>1</v>
      </c>
      <c r="H27" s="223">
        <v>250000</v>
      </c>
      <c r="I27" s="62">
        <v>0</v>
      </c>
      <c r="J27" s="62">
        <v>0</v>
      </c>
      <c r="K27" s="62">
        <v>0</v>
      </c>
      <c r="L27" s="62">
        <v>0</v>
      </c>
      <c r="M27" s="62">
        <v>0</v>
      </c>
      <c r="N27" s="62">
        <v>0</v>
      </c>
      <c r="O27" s="62">
        <v>0</v>
      </c>
      <c r="P27" s="62">
        <v>0</v>
      </c>
      <c r="Q27" s="62">
        <v>0</v>
      </c>
      <c r="R27" s="62">
        <v>0</v>
      </c>
      <c r="S27" s="62">
        <v>0</v>
      </c>
      <c r="T27" s="62">
        <v>0</v>
      </c>
      <c r="U27" s="35">
        <f t="shared" si="0"/>
        <v>250000</v>
      </c>
      <c r="V27" s="36" t="s">
        <v>429</v>
      </c>
    </row>
    <row r="28" spans="1:22">
      <c r="A28" s="717"/>
      <c r="B28" s="717"/>
      <c r="C28" s="768"/>
      <c r="D28" s="34" t="s">
        <v>445</v>
      </c>
      <c r="E28" s="55" t="s">
        <v>443</v>
      </c>
      <c r="F28" s="36" t="s">
        <v>444</v>
      </c>
      <c r="G28" s="36">
        <v>50</v>
      </c>
      <c r="H28" s="223">
        <v>4800</v>
      </c>
      <c r="I28" s="62">
        <v>0</v>
      </c>
      <c r="J28" s="62">
        <v>0</v>
      </c>
      <c r="K28" s="62">
        <v>0</v>
      </c>
      <c r="L28" s="62">
        <v>0</v>
      </c>
      <c r="M28" s="62">
        <v>0</v>
      </c>
      <c r="N28" s="62">
        <v>0</v>
      </c>
      <c r="O28" s="62">
        <v>0</v>
      </c>
      <c r="P28" s="62">
        <v>0</v>
      </c>
      <c r="Q28" s="62">
        <v>0</v>
      </c>
      <c r="R28" s="62">
        <v>0</v>
      </c>
      <c r="S28" s="62">
        <v>0</v>
      </c>
      <c r="T28" s="62">
        <v>0</v>
      </c>
      <c r="U28" s="35">
        <f t="shared" si="0"/>
        <v>240000</v>
      </c>
      <c r="V28" s="36" t="s">
        <v>429</v>
      </c>
    </row>
    <row r="29" spans="1:22">
      <c r="A29" s="717"/>
      <c r="B29" s="717"/>
      <c r="C29" s="768"/>
      <c r="D29" s="54" t="s">
        <v>446</v>
      </c>
      <c r="E29" s="36" t="s">
        <v>447</v>
      </c>
      <c r="F29" s="36"/>
      <c r="G29" s="36">
        <v>1</v>
      </c>
      <c r="H29" s="223">
        <v>750000</v>
      </c>
      <c r="I29" s="62">
        <v>0</v>
      </c>
      <c r="J29" s="62">
        <v>0</v>
      </c>
      <c r="K29" s="62">
        <v>0</v>
      </c>
      <c r="L29" s="62">
        <v>0</v>
      </c>
      <c r="M29" s="62">
        <v>0</v>
      </c>
      <c r="N29" s="62">
        <v>0</v>
      </c>
      <c r="O29" s="62">
        <v>0</v>
      </c>
      <c r="P29" s="62">
        <v>0</v>
      </c>
      <c r="Q29" s="62">
        <v>0</v>
      </c>
      <c r="R29" s="62">
        <v>0</v>
      </c>
      <c r="S29" s="62">
        <v>0</v>
      </c>
      <c r="T29" s="62">
        <v>0</v>
      </c>
      <c r="U29" s="35">
        <f t="shared" si="0"/>
        <v>750000</v>
      </c>
      <c r="V29" s="36" t="s">
        <v>429</v>
      </c>
    </row>
    <row r="30" spans="1:22">
      <c r="A30" s="717"/>
      <c r="B30" s="717"/>
      <c r="C30" s="768"/>
      <c r="D30" s="54" t="s">
        <v>448</v>
      </c>
      <c r="E30" s="36" t="s">
        <v>443</v>
      </c>
      <c r="F30" s="36" t="s">
        <v>150</v>
      </c>
      <c r="G30" s="36">
        <v>50</v>
      </c>
      <c r="H30" s="223">
        <v>1000</v>
      </c>
      <c r="I30" s="62">
        <v>0</v>
      </c>
      <c r="J30" s="62">
        <v>0</v>
      </c>
      <c r="K30" s="62">
        <v>0</v>
      </c>
      <c r="L30" s="62">
        <v>0</v>
      </c>
      <c r="M30" s="62">
        <v>0</v>
      </c>
      <c r="N30" s="62">
        <v>0</v>
      </c>
      <c r="O30" s="62">
        <v>0</v>
      </c>
      <c r="P30" s="62">
        <v>0</v>
      </c>
      <c r="Q30" s="62">
        <v>0</v>
      </c>
      <c r="R30" s="62">
        <v>0</v>
      </c>
      <c r="S30" s="62">
        <v>0</v>
      </c>
      <c r="T30" s="62">
        <v>0</v>
      </c>
      <c r="U30" s="35">
        <f t="shared" si="0"/>
        <v>50000</v>
      </c>
      <c r="V30" s="36" t="s">
        <v>429</v>
      </c>
    </row>
    <row r="31" spans="1:22">
      <c r="A31" s="717"/>
      <c r="B31" s="717"/>
      <c r="C31" s="768"/>
      <c r="D31" s="34" t="s">
        <v>449</v>
      </c>
      <c r="E31" s="55" t="s">
        <v>450</v>
      </c>
      <c r="F31" s="36" t="s">
        <v>427</v>
      </c>
      <c r="G31" s="36">
        <v>1</v>
      </c>
      <c r="H31" s="223">
        <v>2000000</v>
      </c>
      <c r="I31" s="62">
        <v>0</v>
      </c>
      <c r="J31" s="62">
        <v>0</v>
      </c>
      <c r="K31" s="62">
        <v>0</v>
      </c>
      <c r="L31" s="62">
        <v>0</v>
      </c>
      <c r="M31" s="62">
        <v>0</v>
      </c>
      <c r="N31" s="62">
        <v>0</v>
      </c>
      <c r="O31" s="62">
        <v>0</v>
      </c>
      <c r="P31" s="62">
        <v>0</v>
      </c>
      <c r="Q31" s="62">
        <v>0</v>
      </c>
      <c r="R31" s="62">
        <v>0</v>
      </c>
      <c r="S31" s="62">
        <v>0</v>
      </c>
      <c r="T31" s="62">
        <v>0</v>
      </c>
      <c r="U31" s="35">
        <f t="shared" si="0"/>
        <v>2000000</v>
      </c>
      <c r="V31" s="36" t="s">
        <v>429</v>
      </c>
    </row>
    <row r="32" spans="1:22">
      <c r="A32" s="717"/>
      <c r="B32" s="717"/>
      <c r="C32" s="768"/>
      <c r="D32" s="225" t="s">
        <v>451</v>
      </c>
      <c r="E32" s="226" t="s">
        <v>198</v>
      </c>
      <c r="F32" s="36" t="s">
        <v>452</v>
      </c>
      <c r="G32" s="36">
        <v>1</v>
      </c>
      <c r="H32" s="223">
        <v>170000</v>
      </c>
      <c r="I32" s="62">
        <v>0</v>
      </c>
      <c r="J32" s="62">
        <v>0</v>
      </c>
      <c r="K32" s="62">
        <v>0</v>
      </c>
      <c r="L32" s="62">
        <v>0</v>
      </c>
      <c r="M32" s="62">
        <v>0</v>
      </c>
      <c r="N32" s="62">
        <v>0</v>
      </c>
      <c r="O32" s="62">
        <v>0</v>
      </c>
      <c r="P32" s="62">
        <v>0</v>
      </c>
      <c r="Q32" s="62">
        <v>0</v>
      </c>
      <c r="R32" s="62">
        <v>0</v>
      </c>
      <c r="S32" s="62">
        <v>0</v>
      </c>
      <c r="T32" s="62">
        <v>0</v>
      </c>
      <c r="U32" s="35">
        <f t="shared" si="0"/>
        <v>170000</v>
      </c>
      <c r="V32" s="36" t="s">
        <v>429</v>
      </c>
    </row>
    <row r="33" spans="1:22">
      <c r="A33" s="717"/>
      <c r="B33" s="717"/>
      <c r="C33" s="768"/>
      <c r="D33" s="225" t="s">
        <v>453</v>
      </c>
      <c r="E33" s="226" t="s">
        <v>450</v>
      </c>
      <c r="F33" s="36" t="s">
        <v>452</v>
      </c>
      <c r="G33" s="36">
        <v>1</v>
      </c>
      <c r="H33" s="223">
        <v>100000</v>
      </c>
      <c r="I33" s="62">
        <v>0</v>
      </c>
      <c r="J33" s="62">
        <v>0</v>
      </c>
      <c r="K33" s="62">
        <v>0</v>
      </c>
      <c r="L33" s="62">
        <v>0</v>
      </c>
      <c r="M33" s="62">
        <v>0</v>
      </c>
      <c r="N33" s="62">
        <v>0</v>
      </c>
      <c r="O33" s="62">
        <v>0</v>
      </c>
      <c r="P33" s="62">
        <v>0</v>
      </c>
      <c r="Q33" s="62">
        <v>0</v>
      </c>
      <c r="R33" s="62">
        <v>0</v>
      </c>
      <c r="S33" s="62">
        <v>0</v>
      </c>
      <c r="T33" s="62">
        <v>0</v>
      </c>
      <c r="U33" s="35">
        <f t="shared" si="0"/>
        <v>100000</v>
      </c>
      <c r="V33" s="36" t="s">
        <v>429</v>
      </c>
    </row>
    <row r="34" spans="1:22" ht="28.5">
      <c r="A34" s="717"/>
      <c r="B34" s="717"/>
      <c r="C34" s="768"/>
      <c r="D34" s="34" t="s">
        <v>454</v>
      </c>
      <c r="E34" s="55" t="s">
        <v>198</v>
      </c>
      <c r="F34" s="36" t="s">
        <v>427</v>
      </c>
      <c r="G34" s="36">
        <v>1</v>
      </c>
      <c r="H34" s="223">
        <v>280000</v>
      </c>
      <c r="I34" s="62">
        <v>0</v>
      </c>
      <c r="J34" s="62">
        <v>0</v>
      </c>
      <c r="K34" s="62">
        <v>0</v>
      </c>
      <c r="L34" s="62">
        <v>0</v>
      </c>
      <c r="M34" s="62">
        <v>0</v>
      </c>
      <c r="N34" s="62">
        <v>0</v>
      </c>
      <c r="O34" s="62">
        <v>0</v>
      </c>
      <c r="P34" s="62">
        <v>0</v>
      </c>
      <c r="Q34" s="62">
        <v>0</v>
      </c>
      <c r="R34" s="62">
        <v>0</v>
      </c>
      <c r="S34" s="62">
        <v>0</v>
      </c>
      <c r="T34" s="62">
        <v>0</v>
      </c>
      <c r="U34" s="35">
        <f t="shared" si="0"/>
        <v>280000</v>
      </c>
      <c r="V34" s="36" t="s">
        <v>429</v>
      </c>
    </row>
    <row r="35" spans="1:22">
      <c r="A35" s="717"/>
      <c r="B35" s="717" t="s">
        <v>399</v>
      </c>
      <c r="C35" s="768" t="s">
        <v>298</v>
      </c>
      <c r="D35" s="34" t="s">
        <v>455</v>
      </c>
      <c r="E35" s="55" t="s">
        <v>456</v>
      </c>
      <c r="F35" s="36" t="s">
        <v>150</v>
      </c>
      <c r="G35" s="222">
        <v>8</v>
      </c>
      <c r="H35" s="224">
        <v>8800</v>
      </c>
      <c r="I35" s="62">
        <v>0</v>
      </c>
      <c r="J35" s="62">
        <v>0</v>
      </c>
      <c r="K35" s="62">
        <v>0</v>
      </c>
      <c r="L35" s="62">
        <v>0</v>
      </c>
      <c r="M35" s="62">
        <v>0</v>
      </c>
      <c r="N35" s="62">
        <v>0</v>
      </c>
      <c r="O35" s="62">
        <v>0</v>
      </c>
      <c r="P35" s="62">
        <v>0</v>
      </c>
      <c r="Q35" s="62">
        <v>0</v>
      </c>
      <c r="R35" s="62">
        <v>0</v>
      </c>
      <c r="S35" s="62">
        <v>0</v>
      </c>
      <c r="T35" s="62">
        <v>0</v>
      </c>
      <c r="U35" s="35">
        <f t="shared" si="0"/>
        <v>70400</v>
      </c>
      <c r="V35" s="36" t="s">
        <v>429</v>
      </c>
    </row>
    <row r="36" spans="1:22">
      <c r="A36" s="717"/>
      <c r="B36" s="717"/>
      <c r="C36" s="768"/>
      <c r="D36" s="34" t="s">
        <v>457</v>
      </c>
      <c r="E36" s="55" t="s">
        <v>456</v>
      </c>
      <c r="F36" s="36" t="s">
        <v>435</v>
      </c>
      <c r="G36" s="36">
        <v>32</v>
      </c>
      <c r="H36" s="223">
        <v>2200</v>
      </c>
      <c r="I36" s="62">
        <v>0</v>
      </c>
      <c r="J36" s="62">
        <v>0</v>
      </c>
      <c r="K36" s="62">
        <v>0</v>
      </c>
      <c r="L36" s="62">
        <v>0</v>
      </c>
      <c r="M36" s="62">
        <v>0</v>
      </c>
      <c r="N36" s="62">
        <v>0</v>
      </c>
      <c r="O36" s="62">
        <v>0</v>
      </c>
      <c r="P36" s="62">
        <v>0</v>
      </c>
      <c r="Q36" s="62">
        <v>0</v>
      </c>
      <c r="R36" s="62">
        <v>0</v>
      </c>
      <c r="S36" s="62">
        <v>0</v>
      </c>
      <c r="T36" s="62">
        <v>0</v>
      </c>
      <c r="U36" s="35">
        <f t="shared" si="0"/>
        <v>70400</v>
      </c>
      <c r="V36" s="36" t="s">
        <v>429</v>
      </c>
    </row>
    <row r="37" spans="1:22">
      <c r="A37" s="717"/>
      <c r="B37" s="717"/>
      <c r="C37" s="768"/>
      <c r="D37" s="34" t="s">
        <v>458</v>
      </c>
      <c r="E37" s="55" t="s">
        <v>456</v>
      </c>
      <c r="F37" s="36" t="s">
        <v>435</v>
      </c>
      <c r="G37" s="36">
        <v>32</v>
      </c>
      <c r="H37" s="224">
        <v>19800</v>
      </c>
      <c r="I37" s="62">
        <v>0</v>
      </c>
      <c r="J37" s="62">
        <v>0</v>
      </c>
      <c r="K37" s="62">
        <v>0</v>
      </c>
      <c r="L37" s="62">
        <v>0</v>
      </c>
      <c r="M37" s="62">
        <v>0</v>
      </c>
      <c r="N37" s="62">
        <v>0</v>
      </c>
      <c r="O37" s="62">
        <v>0</v>
      </c>
      <c r="P37" s="62">
        <v>0</v>
      </c>
      <c r="Q37" s="62">
        <v>0</v>
      </c>
      <c r="R37" s="62">
        <v>0</v>
      </c>
      <c r="S37" s="62">
        <v>0</v>
      </c>
      <c r="T37" s="62">
        <v>0</v>
      </c>
      <c r="U37" s="35">
        <f t="shared" si="0"/>
        <v>633600</v>
      </c>
      <c r="V37" s="36" t="s">
        <v>429</v>
      </c>
    </row>
    <row r="38" spans="1:22">
      <c r="A38" s="717"/>
      <c r="B38" s="717"/>
      <c r="C38" s="768"/>
      <c r="D38" s="34" t="s">
        <v>459</v>
      </c>
      <c r="E38" s="55" t="s">
        <v>456</v>
      </c>
      <c r="F38" s="36" t="s">
        <v>435</v>
      </c>
      <c r="G38" s="36">
        <v>16</v>
      </c>
      <c r="H38" s="223">
        <v>6000</v>
      </c>
      <c r="I38" s="62">
        <v>0</v>
      </c>
      <c r="J38" s="62">
        <v>0</v>
      </c>
      <c r="K38" s="62">
        <v>0</v>
      </c>
      <c r="L38" s="62">
        <v>0</v>
      </c>
      <c r="M38" s="62">
        <v>0</v>
      </c>
      <c r="N38" s="62">
        <v>0</v>
      </c>
      <c r="O38" s="62">
        <v>0</v>
      </c>
      <c r="P38" s="62">
        <v>0</v>
      </c>
      <c r="Q38" s="62">
        <v>0</v>
      </c>
      <c r="R38" s="62">
        <v>0</v>
      </c>
      <c r="S38" s="62">
        <v>0</v>
      </c>
      <c r="T38" s="62">
        <v>0</v>
      </c>
      <c r="U38" s="35">
        <f t="shared" si="0"/>
        <v>96000</v>
      </c>
      <c r="V38" s="36" t="s">
        <v>429</v>
      </c>
    </row>
    <row r="39" spans="1:22" ht="57">
      <c r="A39" s="717"/>
      <c r="B39" s="717"/>
      <c r="C39" s="768"/>
      <c r="D39" s="34" t="s">
        <v>460</v>
      </c>
      <c r="E39" s="55" t="s">
        <v>198</v>
      </c>
      <c r="F39" s="36" t="s">
        <v>427</v>
      </c>
      <c r="G39" s="36">
        <v>1</v>
      </c>
      <c r="H39" s="223">
        <v>2000000</v>
      </c>
      <c r="I39" s="62">
        <v>0</v>
      </c>
      <c r="J39" s="62">
        <v>0</v>
      </c>
      <c r="K39" s="62">
        <v>0</v>
      </c>
      <c r="L39" s="62">
        <v>0</v>
      </c>
      <c r="M39" s="62">
        <v>0</v>
      </c>
      <c r="N39" s="62">
        <v>0</v>
      </c>
      <c r="O39" s="62">
        <v>0</v>
      </c>
      <c r="P39" s="62">
        <v>0</v>
      </c>
      <c r="Q39" s="62">
        <v>0</v>
      </c>
      <c r="R39" s="62">
        <v>0</v>
      </c>
      <c r="S39" s="62">
        <v>0</v>
      </c>
      <c r="T39" s="62">
        <v>0</v>
      </c>
      <c r="U39" s="35">
        <f t="shared" si="0"/>
        <v>2000000</v>
      </c>
      <c r="V39" s="36" t="s">
        <v>429</v>
      </c>
    </row>
    <row r="40" spans="1:22" ht="30" customHeight="1">
      <c r="A40" s="717"/>
      <c r="B40" s="706" t="s">
        <v>397</v>
      </c>
      <c r="C40" s="768" t="s">
        <v>298</v>
      </c>
      <c r="D40" s="34" t="s">
        <v>461</v>
      </c>
      <c r="E40" s="55" t="s">
        <v>450</v>
      </c>
      <c r="F40" s="36" t="s">
        <v>427</v>
      </c>
      <c r="G40" s="36">
        <v>1</v>
      </c>
      <c r="H40" s="223">
        <v>650000</v>
      </c>
      <c r="I40" s="62">
        <v>0</v>
      </c>
      <c r="J40" s="62">
        <v>0</v>
      </c>
      <c r="K40" s="62">
        <v>0</v>
      </c>
      <c r="L40" s="62">
        <v>0</v>
      </c>
      <c r="M40" s="62">
        <v>0</v>
      </c>
      <c r="N40" s="62">
        <v>0</v>
      </c>
      <c r="O40" s="62">
        <v>0</v>
      </c>
      <c r="P40" s="62">
        <v>0</v>
      </c>
      <c r="Q40" s="62">
        <v>0</v>
      </c>
      <c r="R40" s="62">
        <v>0</v>
      </c>
      <c r="S40" s="62">
        <v>0</v>
      </c>
      <c r="T40" s="62">
        <v>0</v>
      </c>
      <c r="U40" s="35">
        <f t="shared" si="0"/>
        <v>650000</v>
      </c>
      <c r="V40" s="36" t="s">
        <v>429</v>
      </c>
    </row>
    <row r="41" spans="1:22">
      <c r="A41" s="717"/>
      <c r="B41" s="716"/>
      <c r="C41" s="768"/>
      <c r="D41" s="225" t="s">
        <v>462</v>
      </c>
      <c r="E41" s="226" t="s">
        <v>463</v>
      </c>
      <c r="F41" s="36" t="s">
        <v>150</v>
      </c>
      <c r="G41" s="36">
        <v>1</v>
      </c>
      <c r="H41" s="223">
        <v>180000</v>
      </c>
      <c r="I41" s="62">
        <v>0</v>
      </c>
      <c r="J41" s="62">
        <v>0</v>
      </c>
      <c r="K41" s="62">
        <v>0</v>
      </c>
      <c r="L41" s="62">
        <v>0</v>
      </c>
      <c r="M41" s="62">
        <v>0</v>
      </c>
      <c r="N41" s="62">
        <v>0</v>
      </c>
      <c r="O41" s="62">
        <v>0</v>
      </c>
      <c r="P41" s="62">
        <v>0</v>
      </c>
      <c r="Q41" s="62">
        <v>0</v>
      </c>
      <c r="R41" s="62">
        <v>0</v>
      </c>
      <c r="S41" s="62">
        <v>0</v>
      </c>
      <c r="T41" s="62">
        <v>0</v>
      </c>
      <c r="U41" s="35">
        <f t="shared" si="0"/>
        <v>180000</v>
      </c>
      <c r="V41" s="36" t="s">
        <v>429</v>
      </c>
    </row>
    <row r="42" spans="1:22" ht="42.75">
      <c r="A42" s="717"/>
      <c r="B42" s="716"/>
      <c r="C42" s="768"/>
      <c r="D42" s="34" t="s">
        <v>464</v>
      </c>
      <c r="E42" s="55" t="s">
        <v>450</v>
      </c>
      <c r="F42" s="36" t="s">
        <v>427</v>
      </c>
      <c r="G42" s="36">
        <v>1</v>
      </c>
      <c r="H42" s="223">
        <v>110000</v>
      </c>
      <c r="I42" s="62">
        <v>0</v>
      </c>
      <c r="J42" s="62">
        <v>0</v>
      </c>
      <c r="K42" s="62">
        <v>0</v>
      </c>
      <c r="L42" s="62">
        <v>0</v>
      </c>
      <c r="M42" s="62">
        <v>0</v>
      </c>
      <c r="N42" s="62">
        <v>0</v>
      </c>
      <c r="O42" s="62">
        <v>0</v>
      </c>
      <c r="P42" s="62">
        <v>0</v>
      </c>
      <c r="Q42" s="62">
        <v>0</v>
      </c>
      <c r="R42" s="62">
        <v>0</v>
      </c>
      <c r="S42" s="62">
        <v>0</v>
      </c>
      <c r="T42" s="62">
        <v>0</v>
      </c>
      <c r="U42" s="35">
        <f t="shared" si="0"/>
        <v>110000</v>
      </c>
      <c r="V42" s="36" t="s">
        <v>429</v>
      </c>
    </row>
    <row r="43" spans="1:22">
      <c r="A43" s="717"/>
      <c r="B43" s="716"/>
      <c r="C43" s="768"/>
      <c r="D43" s="34" t="s">
        <v>465</v>
      </c>
      <c r="E43" s="55" t="s">
        <v>355</v>
      </c>
      <c r="F43" s="36" t="s">
        <v>427</v>
      </c>
      <c r="G43" s="36">
        <v>1</v>
      </c>
      <c r="H43" s="224">
        <v>250000</v>
      </c>
      <c r="I43" s="62">
        <v>0</v>
      </c>
      <c r="J43" s="62">
        <v>0</v>
      </c>
      <c r="K43" s="62">
        <v>0</v>
      </c>
      <c r="L43" s="62">
        <v>0</v>
      </c>
      <c r="M43" s="62">
        <v>0</v>
      </c>
      <c r="N43" s="62">
        <v>0</v>
      </c>
      <c r="O43" s="62">
        <v>0</v>
      </c>
      <c r="P43" s="62">
        <v>0</v>
      </c>
      <c r="Q43" s="62">
        <v>0</v>
      </c>
      <c r="R43" s="62">
        <v>0</v>
      </c>
      <c r="S43" s="62">
        <v>0</v>
      </c>
      <c r="T43" s="62">
        <v>0</v>
      </c>
      <c r="U43" s="35">
        <f t="shared" si="0"/>
        <v>250000</v>
      </c>
      <c r="V43" s="36" t="s">
        <v>429</v>
      </c>
    </row>
    <row r="44" spans="1:22">
      <c r="A44" s="717"/>
      <c r="B44" s="716"/>
      <c r="C44" s="768"/>
      <c r="D44" s="34" t="s">
        <v>466</v>
      </c>
      <c r="E44" s="55" t="s">
        <v>345</v>
      </c>
      <c r="F44" s="36" t="s">
        <v>435</v>
      </c>
      <c r="G44" s="36">
        <v>40</v>
      </c>
      <c r="H44" s="223">
        <v>7500</v>
      </c>
      <c r="I44" s="62">
        <v>0</v>
      </c>
      <c r="J44" s="62">
        <v>0</v>
      </c>
      <c r="K44" s="62">
        <v>0</v>
      </c>
      <c r="L44" s="62">
        <v>0</v>
      </c>
      <c r="M44" s="62">
        <v>0</v>
      </c>
      <c r="N44" s="62">
        <v>0</v>
      </c>
      <c r="O44" s="62">
        <v>0</v>
      </c>
      <c r="P44" s="62">
        <v>0</v>
      </c>
      <c r="Q44" s="62">
        <v>0</v>
      </c>
      <c r="R44" s="62">
        <v>0</v>
      </c>
      <c r="S44" s="62">
        <v>0</v>
      </c>
      <c r="T44" s="62">
        <v>0</v>
      </c>
      <c r="U44" s="35">
        <f t="shared" si="0"/>
        <v>300000</v>
      </c>
      <c r="V44" s="36" t="s">
        <v>429</v>
      </c>
    </row>
    <row r="45" spans="1:22">
      <c r="A45" s="717"/>
      <c r="B45" s="716"/>
      <c r="C45" s="768"/>
      <c r="D45" s="34" t="s">
        <v>467</v>
      </c>
      <c r="E45" s="55" t="s">
        <v>345</v>
      </c>
      <c r="F45" s="36" t="s">
        <v>435</v>
      </c>
      <c r="G45" s="222">
        <v>8</v>
      </c>
      <c r="H45" s="224">
        <v>11500</v>
      </c>
      <c r="I45" s="62">
        <v>0</v>
      </c>
      <c r="J45" s="62">
        <v>0</v>
      </c>
      <c r="K45" s="62">
        <v>0</v>
      </c>
      <c r="L45" s="62">
        <v>0</v>
      </c>
      <c r="M45" s="62">
        <v>0</v>
      </c>
      <c r="N45" s="62">
        <v>0</v>
      </c>
      <c r="O45" s="62">
        <v>0</v>
      </c>
      <c r="P45" s="62">
        <v>0</v>
      </c>
      <c r="Q45" s="62">
        <v>0</v>
      </c>
      <c r="R45" s="62">
        <v>0</v>
      </c>
      <c r="S45" s="62">
        <v>0</v>
      </c>
      <c r="T45" s="62">
        <v>0</v>
      </c>
      <c r="U45" s="35">
        <f t="shared" si="0"/>
        <v>92000</v>
      </c>
      <c r="V45" s="36" t="s">
        <v>429</v>
      </c>
    </row>
    <row r="46" spans="1:22" ht="28.5">
      <c r="A46" s="717"/>
      <c r="B46" s="716"/>
      <c r="C46" s="768"/>
      <c r="D46" s="34" t="s">
        <v>468</v>
      </c>
      <c r="E46" s="55" t="s">
        <v>450</v>
      </c>
      <c r="F46" s="36" t="s">
        <v>427</v>
      </c>
      <c r="G46" s="36">
        <v>1</v>
      </c>
      <c r="H46" s="224">
        <v>650000</v>
      </c>
      <c r="I46" s="62">
        <v>0</v>
      </c>
      <c r="J46" s="62">
        <v>0</v>
      </c>
      <c r="K46" s="62">
        <v>0</v>
      </c>
      <c r="L46" s="62">
        <v>0</v>
      </c>
      <c r="M46" s="62">
        <v>0</v>
      </c>
      <c r="N46" s="62">
        <v>0</v>
      </c>
      <c r="O46" s="62">
        <v>0</v>
      </c>
      <c r="P46" s="62">
        <v>0</v>
      </c>
      <c r="Q46" s="62">
        <v>0</v>
      </c>
      <c r="R46" s="62">
        <v>0</v>
      </c>
      <c r="S46" s="62">
        <v>0</v>
      </c>
      <c r="T46" s="62">
        <v>0</v>
      </c>
      <c r="U46" s="35">
        <f t="shared" si="0"/>
        <v>650000</v>
      </c>
      <c r="V46" s="36" t="s">
        <v>429</v>
      </c>
    </row>
    <row r="47" spans="1:22" ht="28.5">
      <c r="A47" s="717"/>
      <c r="B47" s="716"/>
      <c r="C47" s="768"/>
      <c r="D47" s="34" t="s">
        <v>469</v>
      </c>
      <c r="E47" s="55" t="s">
        <v>223</v>
      </c>
      <c r="F47" s="36" t="s">
        <v>427</v>
      </c>
      <c r="G47" s="36">
        <v>1</v>
      </c>
      <c r="H47" s="223">
        <v>800000</v>
      </c>
      <c r="I47" s="62">
        <v>0</v>
      </c>
      <c r="J47" s="62">
        <v>0</v>
      </c>
      <c r="K47" s="62">
        <v>0</v>
      </c>
      <c r="L47" s="62">
        <v>0</v>
      </c>
      <c r="M47" s="62">
        <v>0</v>
      </c>
      <c r="N47" s="62">
        <v>0</v>
      </c>
      <c r="O47" s="62">
        <v>0</v>
      </c>
      <c r="P47" s="62">
        <v>0</v>
      </c>
      <c r="Q47" s="62">
        <v>0</v>
      </c>
      <c r="R47" s="62">
        <v>0</v>
      </c>
      <c r="S47" s="62">
        <v>0</v>
      </c>
      <c r="T47" s="62">
        <v>0</v>
      </c>
      <c r="U47" s="35">
        <f t="shared" si="0"/>
        <v>800000</v>
      </c>
      <c r="V47" s="36" t="s">
        <v>429</v>
      </c>
    </row>
    <row r="48" spans="1:22">
      <c r="A48" s="717"/>
      <c r="B48" s="707"/>
      <c r="C48" s="768"/>
      <c r="D48" s="54" t="s">
        <v>470</v>
      </c>
      <c r="E48" s="36" t="s">
        <v>471</v>
      </c>
      <c r="F48" s="36" t="s">
        <v>427</v>
      </c>
      <c r="G48" s="36">
        <v>1</v>
      </c>
      <c r="H48" s="223">
        <v>500000</v>
      </c>
      <c r="I48" s="62">
        <v>0</v>
      </c>
      <c r="J48" s="62">
        <v>0</v>
      </c>
      <c r="K48" s="62">
        <v>0</v>
      </c>
      <c r="L48" s="62">
        <v>0</v>
      </c>
      <c r="M48" s="62">
        <v>0</v>
      </c>
      <c r="N48" s="62">
        <v>0</v>
      </c>
      <c r="O48" s="62">
        <v>0</v>
      </c>
      <c r="P48" s="62">
        <v>0</v>
      </c>
      <c r="Q48" s="62">
        <v>0</v>
      </c>
      <c r="R48" s="62">
        <v>0</v>
      </c>
      <c r="S48" s="62">
        <v>0</v>
      </c>
      <c r="T48" s="62">
        <v>0</v>
      </c>
      <c r="U48" s="35">
        <f t="shared" si="0"/>
        <v>500000</v>
      </c>
      <c r="V48" s="36" t="s">
        <v>429</v>
      </c>
    </row>
    <row r="49" spans="1:22" ht="42.75">
      <c r="A49" s="57" t="s">
        <v>400</v>
      </c>
      <c r="B49" s="57" t="s">
        <v>403</v>
      </c>
      <c r="C49" s="59" t="s">
        <v>298</v>
      </c>
      <c r="D49" s="58" t="s">
        <v>220</v>
      </c>
      <c r="E49" s="60" t="s">
        <v>188</v>
      </c>
      <c r="F49" s="60" t="s">
        <v>150</v>
      </c>
      <c r="G49" s="32">
        <v>20</v>
      </c>
      <c r="H49" s="152">
        <v>1750</v>
      </c>
      <c r="I49" s="61">
        <v>0</v>
      </c>
      <c r="J49" s="61">
        <v>0</v>
      </c>
      <c r="K49" s="61">
        <v>0</v>
      </c>
      <c r="L49" s="61">
        <v>0</v>
      </c>
      <c r="M49" s="61">
        <v>0</v>
      </c>
      <c r="N49" s="68">
        <f>H49*10</f>
        <v>17500</v>
      </c>
      <c r="O49" s="61">
        <v>0</v>
      </c>
      <c r="P49" s="61">
        <v>0</v>
      </c>
      <c r="Q49" s="61">
        <v>0</v>
      </c>
      <c r="R49" s="61">
        <v>0</v>
      </c>
      <c r="S49" s="61">
        <v>0</v>
      </c>
      <c r="T49" s="68">
        <f>H49*10</f>
        <v>17500</v>
      </c>
      <c r="U49" s="68">
        <f>SUM(I49:T49)</f>
        <v>35000</v>
      </c>
      <c r="V49" s="60" t="s">
        <v>429</v>
      </c>
    </row>
    <row r="50" spans="1:22">
      <c r="A50" s="773" t="s">
        <v>472</v>
      </c>
      <c r="B50" s="717" t="s">
        <v>473</v>
      </c>
      <c r="C50" s="768" t="s">
        <v>298</v>
      </c>
      <c r="D50" s="54" t="s">
        <v>474</v>
      </c>
      <c r="E50" s="36" t="s">
        <v>196</v>
      </c>
      <c r="F50" s="36" t="s">
        <v>150</v>
      </c>
      <c r="G50" s="36">
        <v>3</v>
      </c>
      <c r="H50" s="35">
        <v>235000</v>
      </c>
      <c r="I50" s="62">
        <v>0</v>
      </c>
      <c r="J50" s="62">
        <v>0</v>
      </c>
      <c r="K50" s="62">
        <v>0</v>
      </c>
      <c r="L50" s="62">
        <v>0</v>
      </c>
      <c r="M50" s="62">
        <v>0</v>
      </c>
      <c r="N50" s="35">
        <v>235000</v>
      </c>
      <c r="O50" s="62">
        <v>0</v>
      </c>
      <c r="P50" s="62">
        <v>0</v>
      </c>
      <c r="Q50" s="62">
        <v>0</v>
      </c>
      <c r="R50" s="62">
        <v>0</v>
      </c>
      <c r="S50" s="62">
        <v>0</v>
      </c>
      <c r="T50" s="35">
        <v>235000</v>
      </c>
      <c r="U50" s="35">
        <f>SUM(I50:T50)</f>
        <v>470000</v>
      </c>
      <c r="V50" s="36" t="s">
        <v>429</v>
      </c>
    </row>
    <row r="51" spans="1:22">
      <c r="A51" s="773"/>
      <c r="B51" s="717"/>
      <c r="C51" s="768"/>
      <c r="D51" s="54" t="s">
        <v>475</v>
      </c>
      <c r="E51" s="36" t="s">
        <v>193</v>
      </c>
      <c r="F51" s="36" t="s">
        <v>150</v>
      </c>
      <c r="G51" s="36">
        <v>1</v>
      </c>
      <c r="H51" s="35">
        <v>453650</v>
      </c>
      <c r="I51" s="62">
        <v>0</v>
      </c>
      <c r="J51" s="62">
        <v>0</v>
      </c>
      <c r="K51" s="62">
        <v>0</v>
      </c>
      <c r="L51" s="62">
        <v>0</v>
      </c>
      <c r="M51" s="62">
        <v>0</v>
      </c>
      <c r="N51" s="62">
        <v>0</v>
      </c>
      <c r="O51" s="62">
        <v>0</v>
      </c>
      <c r="P51" s="62">
        <v>0</v>
      </c>
      <c r="Q51" s="62">
        <v>0</v>
      </c>
      <c r="R51" s="62">
        <v>0</v>
      </c>
      <c r="S51" s="62">
        <v>0</v>
      </c>
      <c r="T51" s="62">
        <v>0</v>
      </c>
      <c r="U51" s="35">
        <f t="shared" ref="U51:U62" si="1">H51*G51</f>
        <v>453650</v>
      </c>
      <c r="V51" s="36" t="s">
        <v>429</v>
      </c>
    </row>
    <row r="52" spans="1:22">
      <c r="A52" s="773"/>
      <c r="B52" s="717" t="s">
        <v>476</v>
      </c>
      <c r="C52" s="768" t="s">
        <v>298</v>
      </c>
      <c r="D52" s="54" t="s">
        <v>477</v>
      </c>
      <c r="E52" s="36" t="s">
        <v>478</v>
      </c>
      <c r="F52" s="36" t="s">
        <v>435</v>
      </c>
      <c r="G52" s="36">
        <v>1</v>
      </c>
      <c r="H52" s="35">
        <v>66675</v>
      </c>
      <c r="I52" s="62">
        <v>0</v>
      </c>
      <c r="J52" s="62">
        <v>0</v>
      </c>
      <c r="K52" s="62">
        <v>0</v>
      </c>
      <c r="L52" s="62">
        <v>0</v>
      </c>
      <c r="M52" s="62">
        <v>0</v>
      </c>
      <c r="N52" s="62">
        <v>0</v>
      </c>
      <c r="O52" s="62">
        <v>0</v>
      </c>
      <c r="P52" s="62">
        <v>0</v>
      </c>
      <c r="Q52" s="62">
        <v>0</v>
      </c>
      <c r="R52" s="62">
        <v>0</v>
      </c>
      <c r="S52" s="62">
        <v>0</v>
      </c>
      <c r="T52" s="62">
        <v>0</v>
      </c>
      <c r="U52" s="35">
        <f t="shared" si="1"/>
        <v>66675</v>
      </c>
      <c r="V52" s="36" t="s">
        <v>429</v>
      </c>
    </row>
    <row r="53" spans="1:22">
      <c r="A53" s="773"/>
      <c r="B53" s="717"/>
      <c r="C53" s="768"/>
      <c r="D53" s="54" t="s">
        <v>479</v>
      </c>
      <c r="E53" s="36" t="s">
        <v>210</v>
      </c>
      <c r="F53" s="36" t="s">
        <v>435</v>
      </c>
      <c r="G53" s="36">
        <v>1</v>
      </c>
      <c r="H53" s="35">
        <v>7400000</v>
      </c>
      <c r="I53" s="62">
        <v>0</v>
      </c>
      <c r="J53" s="62">
        <v>0</v>
      </c>
      <c r="K53" s="62">
        <v>0</v>
      </c>
      <c r="L53" s="62">
        <v>0</v>
      </c>
      <c r="M53" s="62">
        <v>0</v>
      </c>
      <c r="N53" s="62">
        <v>0</v>
      </c>
      <c r="O53" s="62">
        <v>0</v>
      </c>
      <c r="P53" s="62">
        <v>0</v>
      </c>
      <c r="Q53" s="62">
        <v>0</v>
      </c>
      <c r="R53" s="62">
        <v>0</v>
      </c>
      <c r="S53" s="62">
        <v>0</v>
      </c>
      <c r="T53" s="62">
        <v>0</v>
      </c>
      <c r="U53" s="35">
        <f t="shared" si="1"/>
        <v>7400000</v>
      </c>
      <c r="V53" s="36" t="s">
        <v>429</v>
      </c>
    </row>
    <row r="54" spans="1:22" ht="28.5">
      <c r="A54" s="773"/>
      <c r="B54" s="717"/>
      <c r="C54" s="768"/>
      <c r="D54" s="34" t="s">
        <v>480</v>
      </c>
      <c r="E54" s="55" t="s">
        <v>443</v>
      </c>
      <c r="F54" s="36" t="s">
        <v>435</v>
      </c>
      <c r="G54" s="36">
        <v>1</v>
      </c>
      <c r="H54" s="35">
        <v>77000</v>
      </c>
      <c r="I54" s="62">
        <v>0</v>
      </c>
      <c r="J54" s="62">
        <v>0</v>
      </c>
      <c r="K54" s="62">
        <v>0</v>
      </c>
      <c r="L54" s="62">
        <v>0</v>
      </c>
      <c r="M54" s="62">
        <v>0</v>
      </c>
      <c r="N54" s="62">
        <v>0</v>
      </c>
      <c r="O54" s="62">
        <v>0</v>
      </c>
      <c r="P54" s="62">
        <v>0</v>
      </c>
      <c r="Q54" s="62">
        <v>0</v>
      </c>
      <c r="R54" s="62">
        <v>0</v>
      </c>
      <c r="S54" s="62">
        <v>0</v>
      </c>
      <c r="T54" s="62">
        <v>0</v>
      </c>
      <c r="U54" s="35">
        <v>77000</v>
      </c>
      <c r="V54" s="36" t="s">
        <v>429</v>
      </c>
    </row>
    <row r="55" spans="1:22" ht="28.5">
      <c r="A55" s="773"/>
      <c r="B55" s="717"/>
      <c r="C55" s="768"/>
      <c r="D55" s="34" t="s">
        <v>481</v>
      </c>
      <c r="E55" s="55" t="s">
        <v>482</v>
      </c>
      <c r="F55" s="36" t="s">
        <v>435</v>
      </c>
      <c r="G55" s="36">
        <v>1</v>
      </c>
      <c r="H55" s="35">
        <v>150000</v>
      </c>
      <c r="I55" s="62">
        <v>0</v>
      </c>
      <c r="J55" s="62">
        <v>0</v>
      </c>
      <c r="K55" s="62">
        <v>0</v>
      </c>
      <c r="L55" s="62">
        <v>0</v>
      </c>
      <c r="M55" s="62">
        <v>0</v>
      </c>
      <c r="N55" s="62">
        <v>0</v>
      </c>
      <c r="O55" s="62">
        <v>0</v>
      </c>
      <c r="P55" s="62">
        <v>0</v>
      </c>
      <c r="Q55" s="62">
        <v>0</v>
      </c>
      <c r="R55" s="62">
        <v>0</v>
      </c>
      <c r="S55" s="62">
        <v>0</v>
      </c>
      <c r="T55" s="62">
        <v>0</v>
      </c>
      <c r="U55" s="35">
        <f t="shared" si="1"/>
        <v>150000</v>
      </c>
      <c r="V55" s="36" t="s">
        <v>429</v>
      </c>
    </row>
    <row r="56" spans="1:22">
      <c r="A56" s="773"/>
      <c r="B56" s="717"/>
      <c r="C56" s="768"/>
      <c r="D56" s="54" t="s">
        <v>483</v>
      </c>
      <c r="E56" s="36" t="s">
        <v>484</v>
      </c>
      <c r="F56" s="36" t="s">
        <v>435</v>
      </c>
      <c r="G56" s="36">
        <v>1</v>
      </c>
      <c r="H56" s="35">
        <v>360000</v>
      </c>
      <c r="I56" s="62">
        <v>0</v>
      </c>
      <c r="J56" s="62">
        <v>0</v>
      </c>
      <c r="K56" s="62">
        <v>0</v>
      </c>
      <c r="L56" s="62">
        <v>0</v>
      </c>
      <c r="M56" s="62">
        <v>0</v>
      </c>
      <c r="N56" s="62">
        <v>0</v>
      </c>
      <c r="O56" s="62">
        <v>0</v>
      </c>
      <c r="P56" s="62">
        <v>0</v>
      </c>
      <c r="Q56" s="62">
        <v>0</v>
      </c>
      <c r="R56" s="62">
        <v>0</v>
      </c>
      <c r="S56" s="62">
        <v>0</v>
      </c>
      <c r="T56" s="62">
        <v>0</v>
      </c>
      <c r="U56" s="35">
        <f t="shared" si="1"/>
        <v>360000</v>
      </c>
      <c r="V56" s="36" t="s">
        <v>429</v>
      </c>
    </row>
    <row r="57" spans="1:22">
      <c r="A57" s="773"/>
      <c r="B57" s="717"/>
      <c r="C57" s="768"/>
      <c r="D57" s="54" t="s">
        <v>485</v>
      </c>
      <c r="E57" s="36" t="s">
        <v>486</v>
      </c>
      <c r="F57" s="36" t="s">
        <v>435</v>
      </c>
      <c r="G57" s="36">
        <v>4</v>
      </c>
      <c r="H57" s="35">
        <v>2592000</v>
      </c>
      <c r="I57" s="62">
        <v>0</v>
      </c>
      <c r="J57" s="62">
        <v>0</v>
      </c>
      <c r="K57" s="62">
        <v>0</v>
      </c>
      <c r="L57" s="62">
        <v>0</v>
      </c>
      <c r="M57" s="62">
        <v>0</v>
      </c>
      <c r="N57" s="62">
        <v>0</v>
      </c>
      <c r="O57" s="62">
        <v>0</v>
      </c>
      <c r="P57" s="62">
        <v>0</v>
      </c>
      <c r="Q57" s="62">
        <v>0</v>
      </c>
      <c r="R57" s="62">
        <v>0</v>
      </c>
      <c r="S57" s="62">
        <v>0</v>
      </c>
      <c r="T57" s="62">
        <v>0</v>
      </c>
      <c r="U57" s="35">
        <f t="shared" si="1"/>
        <v>10368000</v>
      </c>
      <c r="V57" s="36" t="s">
        <v>429</v>
      </c>
    </row>
    <row r="58" spans="1:22">
      <c r="A58" s="773"/>
      <c r="B58" s="717"/>
      <c r="C58" s="768"/>
      <c r="D58" s="54" t="s">
        <v>487</v>
      </c>
      <c r="E58" s="36" t="s">
        <v>149</v>
      </c>
      <c r="F58" s="36" t="s">
        <v>435</v>
      </c>
      <c r="G58" s="36">
        <v>1</v>
      </c>
      <c r="H58" s="35">
        <v>80000</v>
      </c>
      <c r="I58" s="62">
        <v>0</v>
      </c>
      <c r="J58" s="62">
        <v>0</v>
      </c>
      <c r="K58" s="62">
        <v>0</v>
      </c>
      <c r="L58" s="62">
        <v>0</v>
      </c>
      <c r="M58" s="62">
        <v>0</v>
      </c>
      <c r="N58" s="62">
        <v>0</v>
      </c>
      <c r="O58" s="62">
        <v>0</v>
      </c>
      <c r="P58" s="62">
        <v>0</v>
      </c>
      <c r="Q58" s="62">
        <v>0</v>
      </c>
      <c r="R58" s="62">
        <v>0</v>
      </c>
      <c r="S58" s="62">
        <v>0</v>
      </c>
      <c r="T58" s="62">
        <v>0</v>
      </c>
      <c r="U58" s="35">
        <f t="shared" si="1"/>
        <v>80000</v>
      </c>
      <c r="V58" s="36" t="s">
        <v>429</v>
      </c>
    </row>
    <row r="59" spans="1:22">
      <c r="A59" s="773"/>
      <c r="B59" s="717"/>
      <c r="C59" s="768"/>
      <c r="D59" s="54" t="s">
        <v>488</v>
      </c>
      <c r="E59" s="36" t="s">
        <v>198</v>
      </c>
      <c r="F59" s="36" t="s">
        <v>435</v>
      </c>
      <c r="G59" s="36">
        <v>1</v>
      </c>
      <c r="H59" s="35">
        <v>1145880</v>
      </c>
      <c r="I59" s="62">
        <v>0</v>
      </c>
      <c r="J59" s="62">
        <v>0</v>
      </c>
      <c r="K59" s="62">
        <v>0</v>
      </c>
      <c r="L59" s="62">
        <v>0</v>
      </c>
      <c r="M59" s="62">
        <v>0</v>
      </c>
      <c r="N59" s="62">
        <v>0</v>
      </c>
      <c r="O59" s="62">
        <v>0</v>
      </c>
      <c r="P59" s="62">
        <v>0</v>
      </c>
      <c r="Q59" s="62">
        <v>0</v>
      </c>
      <c r="R59" s="62">
        <v>0</v>
      </c>
      <c r="S59" s="62">
        <v>0</v>
      </c>
      <c r="T59" s="62">
        <v>0</v>
      </c>
      <c r="U59" s="35">
        <f t="shared" si="1"/>
        <v>1145880</v>
      </c>
      <c r="V59" s="36" t="s">
        <v>429</v>
      </c>
    </row>
    <row r="60" spans="1:22">
      <c r="A60" s="773"/>
      <c r="B60" s="717" t="s">
        <v>489</v>
      </c>
      <c r="C60" s="768" t="s">
        <v>298</v>
      </c>
      <c r="D60" s="34" t="s">
        <v>490</v>
      </c>
      <c r="E60" s="55" t="s">
        <v>198</v>
      </c>
      <c r="F60" s="36" t="s">
        <v>427</v>
      </c>
      <c r="G60" s="36">
        <v>1</v>
      </c>
      <c r="H60" s="35">
        <v>250000</v>
      </c>
      <c r="I60" s="62">
        <v>0</v>
      </c>
      <c r="J60" s="62">
        <v>0</v>
      </c>
      <c r="K60" s="62">
        <v>0</v>
      </c>
      <c r="L60" s="62">
        <v>0</v>
      </c>
      <c r="M60" s="62">
        <v>0</v>
      </c>
      <c r="N60" s="62">
        <v>0</v>
      </c>
      <c r="O60" s="62">
        <v>0</v>
      </c>
      <c r="P60" s="62">
        <v>0</v>
      </c>
      <c r="Q60" s="62">
        <v>0</v>
      </c>
      <c r="R60" s="62">
        <v>0</v>
      </c>
      <c r="S60" s="62">
        <v>0</v>
      </c>
      <c r="T60" s="62">
        <v>0</v>
      </c>
      <c r="U60" s="35">
        <f t="shared" si="1"/>
        <v>250000</v>
      </c>
      <c r="V60" s="36" t="s">
        <v>429</v>
      </c>
    </row>
    <row r="61" spans="1:22">
      <c r="A61" s="773"/>
      <c r="B61" s="717"/>
      <c r="C61" s="768"/>
      <c r="D61" s="54" t="s">
        <v>448</v>
      </c>
      <c r="E61" s="36" t="s">
        <v>443</v>
      </c>
      <c r="F61" s="36" t="s">
        <v>435</v>
      </c>
      <c r="G61" s="36">
        <v>50</v>
      </c>
      <c r="H61" s="35">
        <v>750</v>
      </c>
      <c r="I61" s="62">
        <v>0</v>
      </c>
      <c r="J61" s="62">
        <v>0</v>
      </c>
      <c r="K61" s="62">
        <v>0</v>
      </c>
      <c r="L61" s="62">
        <v>0</v>
      </c>
      <c r="M61" s="62">
        <v>0</v>
      </c>
      <c r="N61" s="62">
        <v>0</v>
      </c>
      <c r="O61" s="62">
        <v>0</v>
      </c>
      <c r="P61" s="62">
        <v>0</v>
      </c>
      <c r="Q61" s="62">
        <v>0</v>
      </c>
      <c r="R61" s="62">
        <v>0</v>
      </c>
      <c r="S61" s="62">
        <v>0</v>
      </c>
      <c r="T61" s="62">
        <v>0</v>
      </c>
      <c r="U61" s="35">
        <f t="shared" si="1"/>
        <v>37500</v>
      </c>
      <c r="V61" s="36" t="s">
        <v>429</v>
      </c>
    </row>
    <row r="62" spans="1:22" ht="28.5">
      <c r="A62" s="773"/>
      <c r="B62" s="717"/>
      <c r="C62" s="768"/>
      <c r="D62" s="34" t="s">
        <v>491</v>
      </c>
      <c r="E62" s="55" t="s">
        <v>198</v>
      </c>
      <c r="F62" s="36" t="s">
        <v>427</v>
      </c>
      <c r="G62" s="36">
        <v>1</v>
      </c>
      <c r="H62" s="35">
        <v>125000</v>
      </c>
      <c r="I62" s="62">
        <v>0</v>
      </c>
      <c r="J62" s="62">
        <v>0</v>
      </c>
      <c r="K62" s="62">
        <v>0</v>
      </c>
      <c r="L62" s="62">
        <v>0</v>
      </c>
      <c r="M62" s="62">
        <v>0</v>
      </c>
      <c r="N62" s="62">
        <v>0</v>
      </c>
      <c r="O62" s="62">
        <v>0</v>
      </c>
      <c r="P62" s="62">
        <v>0</v>
      </c>
      <c r="Q62" s="62">
        <v>0</v>
      </c>
      <c r="R62" s="62">
        <v>0</v>
      </c>
      <c r="S62" s="62">
        <v>0</v>
      </c>
      <c r="T62" s="62">
        <v>0</v>
      </c>
      <c r="U62" s="35">
        <f t="shared" si="1"/>
        <v>125000</v>
      </c>
      <c r="V62" s="36" t="s">
        <v>429</v>
      </c>
    </row>
    <row r="63" spans="1:22" ht="15">
      <c r="A63" s="774" t="s">
        <v>13</v>
      </c>
      <c r="B63" s="774"/>
      <c r="C63" s="774"/>
      <c r="D63" s="774"/>
      <c r="E63" s="774"/>
      <c r="F63" s="774"/>
      <c r="G63" s="774"/>
      <c r="H63" s="227"/>
      <c r="I63" s="228">
        <f t="shared" ref="I63:N63" si="2">SUM(I17:I62)</f>
        <v>0</v>
      </c>
      <c r="J63" s="228">
        <f t="shared" si="2"/>
        <v>0</v>
      </c>
      <c r="K63" s="229">
        <f t="shared" si="2"/>
        <v>314000</v>
      </c>
      <c r="L63" s="228">
        <f t="shared" si="2"/>
        <v>0</v>
      </c>
      <c r="M63" s="228">
        <f t="shared" si="2"/>
        <v>0</v>
      </c>
      <c r="N63" s="230">
        <f t="shared" si="2"/>
        <v>691550</v>
      </c>
      <c r="O63" s="230">
        <f>SUM(O17:O18)</f>
        <v>5800</v>
      </c>
      <c r="P63" s="231">
        <f t="shared" ref="P63:U63" si="3">SUM(P17:P62)</f>
        <v>0</v>
      </c>
      <c r="Q63" s="230">
        <f t="shared" si="3"/>
        <v>219800</v>
      </c>
      <c r="R63" s="231">
        <f t="shared" si="3"/>
        <v>0</v>
      </c>
      <c r="S63" s="231">
        <f t="shared" si="3"/>
        <v>0</v>
      </c>
      <c r="T63" s="230">
        <f t="shared" si="3"/>
        <v>365750</v>
      </c>
      <c r="U63" s="230">
        <f t="shared" si="3"/>
        <v>32928005</v>
      </c>
      <c r="V63" s="232"/>
    </row>
    <row r="65" spans="1:21">
      <c r="A65" s="27"/>
      <c r="H65" s="65"/>
    </row>
    <row r="66" spans="1:21">
      <c r="A66" s="775"/>
      <c r="B66" s="775"/>
      <c r="C66" s="775"/>
      <c r="G66" s="233"/>
      <c r="H66" s="234"/>
      <c r="I66" s="233"/>
      <c r="J66" s="233"/>
      <c r="K66" s="233"/>
      <c r="O66" s="775"/>
      <c r="P66" s="775"/>
      <c r="Q66" s="775"/>
      <c r="R66" s="775"/>
      <c r="S66" s="775"/>
      <c r="T66" s="775"/>
    </row>
    <row r="67" spans="1:21" ht="18">
      <c r="A67" s="651" t="s">
        <v>492</v>
      </c>
      <c r="B67" s="651"/>
      <c r="C67" s="651"/>
      <c r="D67" s="235"/>
      <c r="E67" s="236"/>
      <c r="F67" s="237"/>
      <c r="G67" s="651" t="s">
        <v>493</v>
      </c>
      <c r="H67" s="651"/>
      <c r="I67" s="651"/>
      <c r="J67" s="651"/>
      <c r="K67" s="651"/>
      <c r="L67" s="651"/>
      <c r="M67" s="235"/>
      <c r="N67" s="235"/>
      <c r="O67" s="651" t="s">
        <v>494</v>
      </c>
      <c r="P67" s="651"/>
      <c r="Q67" s="651"/>
      <c r="R67" s="651"/>
      <c r="S67" s="651"/>
      <c r="T67" s="651"/>
      <c r="U67" s="235"/>
    </row>
    <row r="68" spans="1:21" ht="15">
      <c r="A68" s="647" t="s">
        <v>495</v>
      </c>
      <c r="B68" s="647"/>
      <c r="C68" s="647"/>
      <c r="D68" s="172"/>
      <c r="E68" s="238"/>
      <c r="F68" s="172"/>
      <c r="G68" s="647" t="s">
        <v>496</v>
      </c>
      <c r="H68" s="647"/>
      <c r="I68" s="647"/>
      <c r="J68" s="647"/>
      <c r="K68" s="647"/>
      <c r="L68" s="647"/>
      <c r="M68" s="172"/>
      <c r="N68" s="172"/>
      <c r="O68" s="647" t="s">
        <v>497</v>
      </c>
      <c r="P68" s="647"/>
      <c r="Q68" s="647"/>
      <c r="R68" s="647"/>
      <c r="S68" s="647"/>
      <c r="T68" s="647"/>
      <c r="U68" s="172"/>
    </row>
    <row r="69" spans="1:21">
      <c r="G69" s="64"/>
      <c r="H69" s="65"/>
    </row>
    <row r="71" spans="1:21" ht="15">
      <c r="B71" s="239" t="s">
        <v>498</v>
      </c>
    </row>
    <row r="72" spans="1:21">
      <c r="B72" s="27" t="s">
        <v>499</v>
      </c>
    </row>
    <row r="73" spans="1:21">
      <c r="B73" s="27" t="s">
        <v>500</v>
      </c>
    </row>
  </sheetData>
  <mergeCells count="45">
    <mergeCell ref="A68:C68"/>
    <mergeCell ref="G68:L68"/>
    <mergeCell ref="O68:T68"/>
    <mergeCell ref="A63:G63"/>
    <mergeCell ref="A66:C66"/>
    <mergeCell ref="O66:T66"/>
    <mergeCell ref="A67:C67"/>
    <mergeCell ref="G67:L67"/>
    <mergeCell ref="O67:T67"/>
    <mergeCell ref="A50:A62"/>
    <mergeCell ref="B50:B51"/>
    <mergeCell ref="C50:C51"/>
    <mergeCell ref="B52:B59"/>
    <mergeCell ref="C52:C59"/>
    <mergeCell ref="B60:B62"/>
    <mergeCell ref="C60:C62"/>
    <mergeCell ref="A17:A18"/>
    <mergeCell ref="B17:B18"/>
    <mergeCell ref="A20:A48"/>
    <mergeCell ref="B20:B34"/>
    <mergeCell ref="C20:C34"/>
    <mergeCell ref="B35:B39"/>
    <mergeCell ref="C35:C39"/>
    <mergeCell ref="B40:B48"/>
    <mergeCell ref="C40:C48"/>
    <mergeCell ref="A8:V8"/>
    <mergeCell ref="A9:V9"/>
    <mergeCell ref="A10:V10"/>
    <mergeCell ref="B11:V11"/>
    <mergeCell ref="B12:V12"/>
    <mergeCell ref="B13:V13"/>
    <mergeCell ref="A15:A16"/>
    <mergeCell ref="B15:B16"/>
    <mergeCell ref="C15:C16"/>
    <mergeCell ref="D15:D16"/>
    <mergeCell ref="E15:E16"/>
    <mergeCell ref="U15:U16"/>
    <mergeCell ref="V15:V16"/>
    <mergeCell ref="G15:G16"/>
    <mergeCell ref="H15:H16"/>
    <mergeCell ref="I15:K15"/>
    <mergeCell ref="L15:N15"/>
    <mergeCell ref="O15:Q15"/>
    <mergeCell ref="R15:T15"/>
    <mergeCell ref="F15:F16"/>
  </mergeCells>
  <pageMargins left="0.7" right="0.7" top="0.75" bottom="0.75" header="0.3" footer="0.3"/>
  <ignoredErrors>
    <ignoredError sqref="U18 U50"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18F0-DD1F-4457-A90E-3006C3AB9F8F}">
  <dimension ref="A7:T37"/>
  <sheetViews>
    <sheetView showGridLines="0" topLeftCell="A28" workbookViewId="0">
      <selection activeCell="F37" sqref="F37"/>
    </sheetView>
  </sheetViews>
  <sheetFormatPr defaultColWidth="11.42578125" defaultRowHeight="14.25"/>
  <cols>
    <col min="1" max="1" width="43.42578125" style="27" customWidth="1"/>
    <col min="2" max="2" width="25" style="27" customWidth="1"/>
    <col min="3" max="3" width="25.140625" style="64" customWidth="1"/>
    <col min="4" max="4" width="17.42578125" style="27" bestFit="1" customWidth="1"/>
    <col min="5" max="5" width="15.28515625" style="65" customWidth="1"/>
    <col min="6" max="6" width="33.140625" style="27" customWidth="1"/>
    <col min="7" max="7" width="8" style="27" customWidth="1"/>
    <col min="8" max="8" width="11.140625" style="27" customWidth="1"/>
    <col min="9" max="9" width="8" style="27" customWidth="1"/>
    <col min="10" max="10" width="8.5703125" style="27" customWidth="1"/>
    <col min="11" max="11" width="7.5703125" style="27" customWidth="1"/>
    <col min="12" max="12" width="7.7109375" style="27" customWidth="1"/>
    <col min="13" max="13" width="8.42578125" style="27" customWidth="1"/>
    <col min="14" max="14" width="9.85546875" style="27" customWidth="1"/>
    <col min="15" max="15" width="14.7109375" style="27" customWidth="1"/>
    <col min="16" max="16" width="10.7109375" style="27" customWidth="1"/>
    <col min="17" max="17" width="13" style="27" customWidth="1"/>
    <col min="18" max="18" width="12.7109375" style="27" customWidth="1"/>
    <col min="19" max="19" width="19.85546875" style="27" customWidth="1"/>
    <col min="20" max="20" width="29.28515625" style="27" customWidth="1"/>
    <col min="21" max="16384" width="11.42578125" style="27"/>
  </cols>
  <sheetData>
    <row r="7" spans="1:20" ht="20.25">
      <c r="A7" s="698" t="s">
        <v>60</v>
      </c>
      <c r="B7" s="698"/>
      <c r="C7" s="698"/>
      <c r="D7" s="698"/>
      <c r="E7" s="698"/>
      <c r="F7" s="698"/>
      <c r="G7" s="698"/>
      <c r="H7" s="698"/>
      <c r="I7" s="698"/>
      <c r="J7" s="698"/>
      <c r="K7" s="698"/>
      <c r="L7" s="698"/>
      <c r="M7" s="698"/>
      <c r="N7" s="698"/>
      <c r="O7" s="698"/>
      <c r="P7" s="698"/>
      <c r="Q7" s="698"/>
      <c r="R7" s="698"/>
      <c r="S7" s="698"/>
      <c r="T7" s="698"/>
    </row>
    <row r="8" spans="1:20" ht="17.25" customHeight="1">
      <c r="A8" s="698" t="s">
        <v>61</v>
      </c>
      <c r="B8" s="698"/>
      <c r="C8" s="698"/>
      <c r="D8" s="698"/>
      <c r="E8" s="698"/>
      <c r="F8" s="698"/>
      <c r="G8" s="698"/>
      <c r="H8" s="698"/>
      <c r="I8" s="698"/>
      <c r="J8" s="698"/>
      <c r="K8" s="698"/>
      <c r="L8" s="698"/>
      <c r="M8" s="698"/>
      <c r="N8" s="698"/>
      <c r="O8" s="698"/>
      <c r="P8" s="698"/>
      <c r="Q8" s="698"/>
      <c r="R8" s="698"/>
      <c r="S8" s="698"/>
      <c r="T8" s="698"/>
    </row>
    <row r="9" spans="1:20" ht="20.25">
      <c r="A9" s="49"/>
      <c r="B9" s="49"/>
      <c r="C9" s="48"/>
      <c r="D9" s="49"/>
      <c r="E9" s="49"/>
      <c r="F9" s="49"/>
      <c r="G9" s="49"/>
      <c r="H9" s="49"/>
      <c r="I9" s="49"/>
      <c r="J9" s="49"/>
      <c r="K9" s="49"/>
      <c r="L9" s="49"/>
      <c r="M9" s="49"/>
      <c r="N9" s="49"/>
      <c r="O9" s="49"/>
      <c r="P9" s="49"/>
      <c r="Q9" s="49"/>
      <c r="R9" s="49"/>
      <c r="S9" s="49"/>
      <c r="T9" s="49"/>
    </row>
    <row r="10" spans="1:20" ht="20.25">
      <c r="A10" s="79" t="s">
        <v>62</v>
      </c>
      <c r="B10" s="700" t="s">
        <v>501</v>
      </c>
      <c r="C10" s="701"/>
      <c r="D10" s="701"/>
      <c r="E10" s="701"/>
      <c r="F10" s="701"/>
      <c r="G10" s="701"/>
      <c r="H10" s="701"/>
      <c r="I10" s="701"/>
      <c r="J10" s="701"/>
      <c r="K10" s="701"/>
      <c r="L10" s="701"/>
      <c r="M10" s="701"/>
      <c r="N10" s="701"/>
      <c r="O10" s="701"/>
      <c r="P10" s="701"/>
      <c r="Q10" s="701"/>
      <c r="R10" s="701"/>
      <c r="S10" s="701"/>
      <c r="T10" s="702"/>
    </row>
    <row r="11" spans="1:20" ht="20.25">
      <c r="A11" s="79" t="s">
        <v>63</v>
      </c>
      <c r="B11" s="700" t="s">
        <v>502</v>
      </c>
      <c r="C11" s="701"/>
      <c r="D11" s="701"/>
      <c r="E11" s="701"/>
      <c r="F11" s="701"/>
      <c r="G11" s="701"/>
      <c r="H11" s="701"/>
      <c r="I11" s="701"/>
      <c r="J11" s="701"/>
      <c r="K11" s="701"/>
      <c r="L11" s="701"/>
      <c r="M11" s="701"/>
      <c r="N11" s="701"/>
      <c r="O11" s="701"/>
      <c r="P11" s="701"/>
      <c r="Q11" s="701"/>
      <c r="R11" s="701"/>
      <c r="S11" s="701"/>
      <c r="T11" s="702"/>
    </row>
    <row r="12" spans="1:20" ht="20.25">
      <c r="A12" s="79" t="s">
        <v>65</v>
      </c>
      <c r="B12" s="703" t="s">
        <v>503</v>
      </c>
      <c r="C12" s="704"/>
      <c r="D12" s="704"/>
      <c r="E12" s="704"/>
      <c r="F12" s="704"/>
      <c r="G12" s="704"/>
      <c r="H12" s="704"/>
      <c r="I12" s="704"/>
      <c r="J12" s="704"/>
      <c r="K12" s="704"/>
      <c r="L12" s="704"/>
      <c r="M12" s="704"/>
      <c r="N12" s="704"/>
      <c r="O12" s="704"/>
      <c r="P12" s="704"/>
      <c r="Q12" s="704"/>
      <c r="R12" s="704"/>
      <c r="S12" s="704"/>
      <c r="T12" s="705"/>
    </row>
    <row r="14" spans="1:20" ht="15">
      <c r="A14" s="708" t="s">
        <v>66</v>
      </c>
      <c r="B14" s="708" t="s">
        <v>67</v>
      </c>
      <c r="C14" s="708" t="s">
        <v>68</v>
      </c>
      <c r="D14" s="776" t="s">
        <v>69</v>
      </c>
      <c r="E14" s="777"/>
      <c r="F14" s="714" t="s">
        <v>70</v>
      </c>
      <c r="G14" s="783" t="s">
        <v>71</v>
      </c>
      <c r="H14" s="784"/>
      <c r="I14" s="785"/>
      <c r="J14" s="783" t="s">
        <v>72</v>
      </c>
      <c r="K14" s="784"/>
      <c r="L14" s="785"/>
      <c r="M14" s="783" t="s">
        <v>73</v>
      </c>
      <c r="N14" s="784"/>
      <c r="O14" s="785"/>
      <c r="P14" s="783" t="s">
        <v>74</v>
      </c>
      <c r="Q14" s="784"/>
      <c r="R14" s="785"/>
      <c r="S14" s="714" t="s">
        <v>75</v>
      </c>
      <c r="T14" s="714" t="s">
        <v>76</v>
      </c>
    </row>
    <row r="15" spans="1:20" s="53" customFormat="1" ht="26.25" customHeight="1">
      <c r="A15" s="709"/>
      <c r="B15" s="709"/>
      <c r="C15" s="709"/>
      <c r="D15" s="51" t="s">
        <v>77</v>
      </c>
      <c r="E15" s="51" t="s">
        <v>78</v>
      </c>
      <c r="F15" s="715"/>
      <c r="G15" s="52" t="s">
        <v>79</v>
      </c>
      <c r="H15" s="52" t="s">
        <v>80</v>
      </c>
      <c r="I15" s="52" t="s">
        <v>81</v>
      </c>
      <c r="J15" s="52" t="s">
        <v>82</v>
      </c>
      <c r="K15" s="52" t="s">
        <v>83</v>
      </c>
      <c r="L15" s="52" t="s">
        <v>84</v>
      </c>
      <c r="M15" s="52" t="s">
        <v>85</v>
      </c>
      <c r="N15" s="52" t="s">
        <v>86</v>
      </c>
      <c r="O15" s="52" t="s">
        <v>87</v>
      </c>
      <c r="P15" s="52" t="s">
        <v>88</v>
      </c>
      <c r="Q15" s="52" t="s">
        <v>89</v>
      </c>
      <c r="R15" s="52" t="s">
        <v>90</v>
      </c>
      <c r="S15" s="715"/>
      <c r="T15" s="715"/>
    </row>
    <row r="16" spans="1:20" ht="53.25" customHeight="1">
      <c r="A16" s="706" t="s">
        <v>504</v>
      </c>
      <c r="B16" s="158" t="s">
        <v>505</v>
      </c>
      <c r="C16" s="34" t="s">
        <v>506</v>
      </c>
      <c r="D16" s="36" t="s">
        <v>170</v>
      </c>
      <c r="E16" s="67">
        <v>0.95</v>
      </c>
      <c r="F16" s="34" t="s">
        <v>656</v>
      </c>
      <c r="G16" s="67">
        <v>0.95</v>
      </c>
      <c r="H16" s="67">
        <v>0.95</v>
      </c>
      <c r="I16" s="67">
        <v>0.95</v>
      </c>
      <c r="J16" s="67">
        <v>0.95</v>
      </c>
      <c r="K16" s="67">
        <v>0.95</v>
      </c>
      <c r="L16" s="67">
        <v>0.95</v>
      </c>
      <c r="M16" s="67">
        <v>0.95</v>
      </c>
      <c r="N16" s="67">
        <v>0.95</v>
      </c>
      <c r="O16" s="67">
        <v>0.95</v>
      </c>
      <c r="P16" s="67">
        <v>0.95</v>
      </c>
      <c r="Q16" s="67">
        <v>0.95</v>
      </c>
      <c r="R16" s="67">
        <v>0.95</v>
      </c>
      <c r="S16" s="762">
        <f>'6- Presupuesto Comunicaciones'!U17+'6- Presupuesto Comunicaciones'!U18+'6- Presupuesto Comunicaciones'!U19+'6- Presupuesto Comunicaciones'!U20+'6- Presupuesto Comunicaciones'!U21+'6- Presupuesto Comunicaciones'!U22+'6- Presupuesto Comunicaciones'!U23</f>
        <v>448000</v>
      </c>
      <c r="T16" s="135" t="s">
        <v>507</v>
      </c>
    </row>
    <row r="17" spans="1:20" ht="28.5">
      <c r="A17" s="716"/>
      <c r="B17" s="158" t="s">
        <v>508</v>
      </c>
      <c r="C17" s="34" t="s">
        <v>509</v>
      </c>
      <c r="D17" s="55" t="s">
        <v>170</v>
      </c>
      <c r="E17" s="138">
        <v>0.95</v>
      </c>
      <c r="F17" s="34" t="s">
        <v>655</v>
      </c>
      <c r="G17" s="55"/>
      <c r="H17" s="55"/>
      <c r="I17" s="138">
        <v>0.95</v>
      </c>
      <c r="J17" s="55"/>
      <c r="K17" s="55"/>
      <c r="L17" s="138">
        <v>0.95</v>
      </c>
      <c r="M17" s="55"/>
      <c r="N17" s="55"/>
      <c r="O17" s="138">
        <v>0.95</v>
      </c>
      <c r="P17" s="55"/>
      <c r="Q17" s="55"/>
      <c r="R17" s="138">
        <v>0.95</v>
      </c>
      <c r="S17" s="763"/>
      <c r="T17" s="135" t="s">
        <v>511</v>
      </c>
    </row>
    <row r="18" spans="1:20" ht="70.5" customHeight="1">
      <c r="A18" s="716"/>
      <c r="B18" s="158" t="s">
        <v>512</v>
      </c>
      <c r="C18" s="34" t="s">
        <v>513</v>
      </c>
      <c r="D18" s="36" t="s">
        <v>78</v>
      </c>
      <c r="E18" s="36">
        <v>3</v>
      </c>
      <c r="F18" s="34" t="s">
        <v>514</v>
      </c>
      <c r="G18" s="36"/>
      <c r="H18" s="36"/>
      <c r="I18" s="36"/>
      <c r="J18" s="36">
        <v>1</v>
      </c>
      <c r="K18" s="36"/>
      <c r="L18" s="36"/>
      <c r="M18" s="36">
        <v>1</v>
      </c>
      <c r="N18" s="36"/>
      <c r="O18" s="36"/>
      <c r="P18" s="36">
        <v>1</v>
      </c>
      <c r="Q18" s="36"/>
      <c r="R18" s="36"/>
      <c r="S18" s="763"/>
      <c r="T18" s="135" t="s">
        <v>515</v>
      </c>
    </row>
    <row r="19" spans="1:20" ht="70.5" customHeight="1">
      <c r="A19" s="716"/>
      <c r="B19" s="34" t="s">
        <v>516</v>
      </c>
      <c r="C19" s="34" t="s">
        <v>517</v>
      </c>
      <c r="D19" s="36" t="s">
        <v>101</v>
      </c>
      <c r="E19" s="36">
        <v>4</v>
      </c>
      <c r="F19" s="34" t="s">
        <v>518</v>
      </c>
      <c r="G19" s="36"/>
      <c r="H19" s="36"/>
      <c r="I19" s="36">
        <v>1</v>
      </c>
      <c r="J19" s="36"/>
      <c r="K19" s="36"/>
      <c r="L19" s="36">
        <v>1</v>
      </c>
      <c r="M19" s="36"/>
      <c r="N19" s="36"/>
      <c r="O19" s="36">
        <v>1</v>
      </c>
      <c r="P19" s="36"/>
      <c r="Q19" s="36">
        <v>1</v>
      </c>
      <c r="R19" s="36"/>
      <c r="S19" s="763"/>
      <c r="T19" s="135" t="s">
        <v>519</v>
      </c>
    </row>
    <row r="20" spans="1:20" ht="28.5" customHeight="1">
      <c r="A20" s="716"/>
      <c r="B20" s="34" t="s">
        <v>520</v>
      </c>
      <c r="C20" s="34" t="s">
        <v>521</v>
      </c>
      <c r="D20" s="36" t="s">
        <v>170</v>
      </c>
      <c r="E20" s="67">
        <v>0.95</v>
      </c>
      <c r="F20" s="34" t="s">
        <v>522</v>
      </c>
      <c r="G20" s="67">
        <v>0.95</v>
      </c>
      <c r="H20" s="67">
        <v>0.95</v>
      </c>
      <c r="I20" s="67">
        <v>0.95</v>
      </c>
      <c r="J20" s="67">
        <v>0.95</v>
      </c>
      <c r="K20" s="67">
        <v>0.95</v>
      </c>
      <c r="L20" s="67">
        <v>0.95</v>
      </c>
      <c r="M20" s="67">
        <v>0.95</v>
      </c>
      <c r="N20" s="67">
        <v>0.95</v>
      </c>
      <c r="O20" s="67">
        <v>0.95</v>
      </c>
      <c r="P20" s="67">
        <v>0.95</v>
      </c>
      <c r="Q20" s="67">
        <v>0.95</v>
      </c>
      <c r="R20" s="67">
        <v>0.95</v>
      </c>
      <c r="S20" s="763"/>
      <c r="T20" s="135" t="s">
        <v>523</v>
      </c>
    </row>
    <row r="21" spans="1:20" ht="42.75">
      <c r="A21" s="716"/>
      <c r="B21" s="34" t="s">
        <v>524</v>
      </c>
      <c r="C21" s="34" t="s">
        <v>525</v>
      </c>
      <c r="D21" s="36" t="s">
        <v>170</v>
      </c>
      <c r="E21" s="67">
        <v>0.95</v>
      </c>
      <c r="F21" s="34" t="s">
        <v>526</v>
      </c>
      <c r="G21" s="67">
        <v>0.95</v>
      </c>
      <c r="H21" s="67">
        <v>0.95</v>
      </c>
      <c r="I21" s="67">
        <v>0.95</v>
      </c>
      <c r="J21" s="67">
        <v>0.95</v>
      </c>
      <c r="K21" s="67">
        <v>0.95</v>
      </c>
      <c r="L21" s="67">
        <v>0.95</v>
      </c>
      <c r="M21" s="67">
        <v>0.95</v>
      </c>
      <c r="N21" s="67">
        <v>0.95</v>
      </c>
      <c r="O21" s="67">
        <v>0.95</v>
      </c>
      <c r="P21" s="67">
        <v>0.95</v>
      </c>
      <c r="Q21" s="67">
        <v>0.95</v>
      </c>
      <c r="R21" s="67">
        <v>0.95</v>
      </c>
      <c r="S21" s="763"/>
      <c r="T21" s="135" t="s">
        <v>527</v>
      </c>
    </row>
    <row r="22" spans="1:20" ht="57">
      <c r="A22" s="716"/>
      <c r="B22" s="34" t="s">
        <v>528</v>
      </c>
      <c r="C22" s="158" t="s">
        <v>529</v>
      </c>
      <c r="D22" s="36" t="s">
        <v>170</v>
      </c>
      <c r="E22" s="67">
        <v>0.95</v>
      </c>
      <c r="F22" s="34" t="s">
        <v>530</v>
      </c>
      <c r="G22" s="67">
        <v>0.95</v>
      </c>
      <c r="H22" s="67">
        <v>0.95</v>
      </c>
      <c r="I22" s="67">
        <v>0.95</v>
      </c>
      <c r="J22" s="67">
        <v>0.95</v>
      </c>
      <c r="K22" s="67">
        <v>0.95</v>
      </c>
      <c r="L22" s="67">
        <v>0.95</v>
      </c>
      <c r="M22" s="67">
        <v>0.95</v>
      </c>
      <c r="N22" s="67">
        <v>0.95</v>
      </c>
      <c r="O22" s="67">
        <v>0.95</v>
      </c>
      <c r="P22" s="67">
        <v>0.95</v>
      </c>
      <c r="Q22" s="67">
        <v>0.95</v>
      </c>
      <c r="R22" s="67">
        <v>0.95</v>
      </c>
      <c r="S22" s="763"/>
      <c r="T22" s="135" t="s">
        <v>531</v>
      </c>
    </row>
    <row r="23" spans="1:20" ht="57" customHeight="1">
      <c r="A23" s="707"/>
      <c r="B23" s="158" t="s">
        <v>532</v>
      </c>
      <c r="C23" s="158" t="s">
        <v>529</v>
      </c>
      <c r="D23" s="36" t="s">
        <v>78</v>
      </c>
      <c r="E23" s="36">
        <v>2</v>
      </c>
      <c r="F23" s="34" t="s">
        <v>533</v>
      </c>
      <c r="G23" s="36"/>
      <c r="H23" s="36"/>
      <c r="I23" s="36">
        <v>1</v>
      </c>
      <c r="J23" s="36"/>
      <c r="K23" s="36"/>
      <c r="L23" s="36"/>
      <c r="M23" s="36"/>
      <c r="N23" s="36"/>
      <c r="O23" s="36"/>
      <c r="P23" s="36"/>
      <c r="Q23" s="36">
        <v>1</v>
      </c>
      <c r="R23" s="36"/>
      <c r="S23" s="764"/>
      <c r="T23" s="135" t="s">
        <v>527</v>
      </c>
    </row>
    <row r="24" spans="1:20" ht="56.25" customHeight="1">
      <c r="A24" s="778" t="s">
        <v>534</v>
      </c>
      <c r="B24" s="57" t="s">
        <v>535</v>
      </c>
      <c r="C24" s="57" t="s">
        <v>536</v>
      </c>
      <c r="D24" s="60" t="s">
        <v>78</v>
      </c>
      <c r="E24" s="32">
        <v>12</v>
      </c>
      <c r="F24" s="30" t="s">
        <v>537</v>
      </c>
      <c r="G24" s="32">
        <v>1</v>
      </c>
      <c r="H24" s="32">
        <v>1</v>
      </c>
      <c r="I24" s="32">
        <v>1</v>
      </c>
      <c r="J24" s="32">
        <v>1</v>
      </c>
      <c r="K24" s="32">
        <v>1</v>
      </c>
      <c r="L24" s="32">
        <v>1</v>
      </c>
      <c r="M24" s="32">
        <v>1</v>
      </c>
      <c r="N24" s="32">
        <v>1</v>
      </c>
      <c r="O24" s="32">
        <v>1</v>
      </c>
      <c r="P24" s="32">
        <v>1</v>
      </c>
      <c r="Q24" s="32">
        <v>1</v>
      </c>
      <c r="R24" s="32">
        <v>1</v>
      </c>
      <c r="S24" s="786">
        <f>'6- Presupuesto Comunicaciones'!U24+'6- Presupuesto Comunicaciones'!U25+'6- Presupuesto Comunicaciones'!U26+'6- Presupuesto Comunicaciones'!U27+'6- Presupuesto Comunicaciones'!U28+'6- Presupuesto Comunicaciones'!U29+'6- Presupuesto Comunicaciones'!U30+'6- Presupuesto Comunicaciones'!U31+'6- Presupuesto Comunicaciones'!U32+'6- Presupuesto Comunicaciones'!U33+'6- Presupuesto Comunicaciones'!U34+'6- Presupuesto Comunicaciones'!U35+'6- Presupuesto Comunicaciones'!U36+'6- Presupuesto Comunicaciones'!U37+'6- Presupuesto Comunicaciones'!U38+'6- Presupuesto Comunicaciones'!U39</f>
        <v>279450</v>
      </c>
      <c r="T24" s="240" t="s">
        <v>538</v>
      </c>
    </row>
    <row r="25" spans="1:20" ht="42.75">
      <c r="A25" s="779"/>
      <c r="B25" s="30" t="s">
        <v>539</v>
      </c>
      <c r="C25" s="241" t="s">
        <v>540</v>
      </c>
      <c r="D25" s="32" t="s">
        <v>78</v>
      </c>
      <c r="E25" s="32">
        <v>4</v>
      </c>
      <c r="F25" s="30" t="s">
        <v>541</v>
      </c>
      <c r="G25" s="32"/>
      <c r="H25" s="32"/>
      <c r="I25" s="32">
        <v>1</v>
      </c>
      <c r="J25" s="32"/>
      <c r="K25" s="32"/>
      <c r="L25" s="32">
        <v>1</v>
      </c>
      <c r="M25" s="32"/>
      <c r="N25" s="32"/>
      <c r="O25" s="32">
        <v>1</v>
      </c>
      <c r="P25" s="32"/>
      <c r="Q25" s="32"/>
      <c r="R25" s="32">
        <v>1</v>
      </c>
      <c r="S25" s="787"/>
      <c r="T25" s="240" t="s">
        <v>542</v>
      </c>
    </row>
    <row r="26" spans="1:20" ht="28.5">
      <c r="A26" s="779"/>
      <c r="B26" s="241" t="s">
        <v>543</v>
      </c>
      <c r="C26" s="30" t="s">
        <v>544</v>
      </c>
      <c r="D26" s="32" t="s">
        <v>78</v>
      </c>
      <c r="E26" s="32">
        <v>4</v>
      </c>
      <c r="F26" s="30" t="s">
        <v>545</v>
      </c>
      <c r="G26" s="32"/>
      <c r="H26" s="32"/>
      <c r="I26" s="32">
        <v>1</v>
      </c>
      <c r="J26" s="32"/>
      <c r="K26" s="32"/>
      <c r="L26" s="32">
        <v>1</v>
      </c>
      <c r="M26" s="32"/>
      <c r="N26" s="32"/>
      <c r="O26" s="32">
        <v>1</v>
      </c>
      <c r="P26" s="32"/>
      <c r="Q26" s="32"/>
      <c r="R26" s="32">
        <v>1</v>
      </c>
      <c r="S26" s="787"/>
      <c r="T26" s="96" t="s">
        <v>527</v>
      </c>
    </row>
    <row r="27" spans="1:20" ht="42.75">
      <c r="A27" s="779"/>
      <c r="B27" s="241" t="s">
        <v>546</v>
      </c>
      <c r="C27" s="165" t="s">
        <v>547</v>
      </c>
      <c r="D27" s="32" t="s">
        <v>78</v>
      </c>
      <c r="E27" s="32">
        <v>1</v>
      </c>
      <c r="F27" s="30" t="s">
        <v>548</v>
      </c>
      <c r="G27" s="32"/>
      <c r="H27" s="32"/>
      <c r="I27" s="32"/>
      <c r="J27" s="32"/>
      <c r="K27" s="32"/>
      <c r="L27" s="32"/>
      <c r="M27" s="216">
        <v>1</v>
      </c>
      <c r="N27" s="32"/>
      <c r="O27" s="32"/>
      <c r="P27" s="32"/>
      <c r="Q27" s="32"/>
      <c r="R27" s="32"/>
      <c r="S27" s="787"/>
      <c r="T27" s="240" t="s">
        <v>549</v>
      </c>
    </row>
    <row r="28" spans="1:20" ht="99.75">
      <c r="A28" s="779"/>
      <c r="B28" s="241" t="s">
        <v>550</v>
      </c>
      <c r="C28" s="241" t="s">
        <v>551</v>
      </c>
      <c r="D28" s="32" t="s">
        <v>78</v>
      </c>
      <c r="E28" s="32">
        <v>2</v>
      </c>
      <c r="F28" s="30" t="s">
        <v>552</v>
      </c>
      <c r="G28" s="32"/>
      <c r="H28" s="32"/>
      <c r="I28" s="32">
        <v>1</v>
      </c>
      <c r="J28" s="32"/>
      <c r="K28" s="32"/>
      <c r="L28" s="32"/>
      <c r="M28" s="32"/>
      <c r="N28" s="32"/>
      <c r="O28" s="32"/>
      <c r="P28" s="32"/>
      <c r="Q28" s="32">
        <v>1</v>
      </c>
      <c r="R28" s="32"/>
      <c r="S28" s="787"/>
      <c r="T28" s="96" t="s">
        <v>527</v>
      </c>
    </row>
    <row r="29" spans="1:20" ht="99.75">
      <c r="A29" s="779"/>
      <c r="B29" s="241" t="s">
        <v>553</v>
      </c>
      <c r="C29" s="30" t="s">
        <v>551</v>
      </c>
      <c r="D29" s="32" t="s">
        <v>78</v>
      </c>
      <c r="E29" s="32">
        <v>15</v>
      </c>
      <c r="F29" s="30" t="s">
        <v>554</v>
      </c>
      <c r="G29" s="32"/>
      <c r="H29" s="32">
        <v>5</v>
      </c>
      <c r="I29" s="32"/>
      <c r="J29" s="32"/>
      <c r="K29" s="32">
        <v>5</v>
      </c>
      <c r="L29" s="32"/>
      <c r="M29" s="32"/>
      <c r="N29" s="32"/>
      <c r="O29" s="32"/>
      <c r="P29" s="32">
        <v>5</v>
      </c>
      <c r="Q29" s="32"/>
      <c r="R29" s="32"/>
      <c r="S29" s="787"/>
      <c r="T29" s="96" t="s">
        <v>527</v>
      </c>
    </row>
    <row r="30" spans="1:20" ht="57">
      <c r="A30" s="780"/>
      <c r="B30" s="30" t="s">
        <v>528</v>
      </c>
      <c r="C30" s="30" t="s">
        <v>555</v>
      </c>
      <c r="D30" s="32" t="s">
        <v>170</v>
      </c>
      <c r="E30" s="216">
        <v>0.95</v>
      </c>
      <c r="F30" s="57" t="s">
        <v>556</v>
      </c>
      <c r="G30" s="216">
        <v>0.95</v>
      </c>
      <c r="H30" s="216">
        <v>0.95</v>
      </c>
      <c r="I30" s="216">
        <v>0.95</v>
      </c>
      <c r="J30" s="216">
        <v>0.95</v>
      </c>
      <c r="K30" s="216">
        <v>0.95</v>
      </c>
      <c r="L30" s="216">
        <v>0.95</v>
      </c>
      <c r="M30" s="216">
        <v>0.95</v>
      </c>
      <c r="N30" s="216">
        <v>0.95</v>
      </c>
      <c r="O30" s="216">
        <v>0.95</v>
      </c>
      <c r="P30" s="216">
        <v>0.95</v>
      </c>
      <c r="Q30" s="216">
        <v>0.95</v>
      </c>
      <c r="R30" s="216">
        <v>0.95</v>
      </c>
      <c r="S30" s="788"/>
      <c r="T30" s="240" t="s">
        <v>557</v>
      </c>
    </row>
    <row r="31" spans="1:20" ht="28.5">
      <c r="A31" s="242" t="s">
        <v>558</v>
      </c>
      <c r="B31" s="34" t="s">
        <v>559</v>
      </c>
      <c r="C31" s="34" t="s">
        <v>560</v>
      </c>
      <c r="D31" s="36" t="s">
        <v>78</v>
      </c>
      <c r="E31" s="36">
        <v>1</v>
      </c>
      <c r="F31" s="34" t="s">
        <v>561</v>
      </c>
      <c r="G31" s="36"/>
      <c r="H31" s="36">
        <v>1</v>
      </c>
      <c r="I31" s="36"/>
      <c r="J31" s="36"/>
      <c r="K31" s="36"/>
      <c r="L31" s="36"/>
      <c r="M31" s="36"/>
      <c r="N31" s="36"/>
      <c r="O31" s="36"/>
      <c r="P31" s="36"/>
      <c r="Q31" s="36"/>
      <c r="R31" s="36"/>
      <c r="S31" s="35">
        <f>'6- Presupuesto Comunicaciones'!U40</f>
        <v>10000</v>
      </c>
      <c r="T31" s="135" t="s">
        <v>562</v>
      </c>
    </row>
    <row r="32" spans="1:20" s="64" customFormat="1" ht="28.5">
      <c r="A32" s="781" t="s">
        <v>563</v>
      </c>
      <c r="B32" s="241" t="s">
        <v>508</v>
      </c>
      <c r="C32" s="30" t="s">
        <v>564</v>
      </c>
      <c r="D32" s="75" t="s">
        <v>170</v>
      </c>
      <c r="E32" s="243">
        <v>0.95</v>
      </c>
      <c r="F32" s="30" t="s">
        <v>565</v>
      </c>
      <c r="G32" s="75"/>
      <c r="H32" s="75"/>
      <c r="I32" s="243">
        <v>0.95</v>
      </c>
      <c r="J32" s="75"/>
      <c r="K32" s="75"/>
      <c r="L32" s="243">
        <v>0.95</v>
      </c>
      <c r="M32" s="75"/>
      <c r="N32" s="75"/>
      <c r="O32" s="243">
        <v>0.95</v>
      </c>
      <c r="P32" s="75"/>
      <c r="Q32" s="75"/>
      <c r="R32" s="243">
        <v>0.95</v>
      </c>
      <c r="S32" s="789">
        <f>'6- Presupuesto Comunicaciones'!U41+'6- Presupuesto Comunicaciones'!U42+'6- Presupuesto Comunicaciones'!U43+'6- Presupuesto Comunicaciones'!U44+'6- Presupuesto Comunicaciones'!U45+'6- Presupuesto Comunicaciones'!U46+'6- Presupuesto Comunicaciones'!U47+'6- Presupuesto Comunicaciones'!U48+'6- Presupuesto Comunicaciones'!U49+'6- Presupuesto Comunicaciones'!U50+'6- Presupuesto Comunicaciones'!U51+'6- Presupuesto Comunicaciones'!U52+'6- Presupuesto Comunicaciones'!U53+'6- Presupuesto Comunicaciones'!U54+'6- Presupuesto Comunicaciones'!U55+'6- Presupuesto Comunicaciones'!U56+'6- Presupuesto Comunicaciones'!U57+'6- Presupuesto Comunicaciones'!U58+'6- Presupuesto Comunicaciones'!U59</f>
        <v>424000</v>
      </c>
      <c r="T32" s="781" t="s">
        <v>566</v>
      </c>
    </row>
    <row r="33" spans="1:20" s="64" customFormat="1" ht="42.75">
      <c r="A33" s="782"/>
      <c r="B33" s="30" t="s">
        <v>567</v>
      </c>
      <c r="C33" s="30" t="s">
        <v>568</v>
      </c>
      <c r="D33" s="75" t="s">
        <v>170</v>
      </c>
      <c r="E33" s="243">
        <v>0.9</v>
      </c>
      <c r="F33" s="30" t="s">
        <v>569</v>
      </c>
      <c r="G33" s="75"/>
      <c r="H33" s="75"/>
      <c r="I33" s="243">
        <v>0.9</v>
      </c>
      <c r="J33" s="75"/>
      <c r="K33" s="75"/>
      <c r="L33" s="243">
        <v>0.9</v>
      </c>
      <c r="M33" s="75"/>
      <c r="N33" s="75"/>
      <c r="O33" s="243">
        <v>0.9</v>
      </c>
      <c r="P33" s="75"/>
      <c r="Q33" s="75"/>
      <c r="R33" s="243">
        <v>0.9</v>
      </c>
      <c r="S33" s="790"/>
      <c r="T33" s="782"/>
    </row>
    <row r="34" spans="1:20" ht="71.25">
      <c r="A34" s="54" t="s">
        <v>570</v>
      </c>
      <c r="B34" s="34" t="s">
        <v>571</v>
      </c>
      <c r="C34" s="34" t="s">
        <v>572</v>
      </c>
      <c r="D34" s="36" t="s">
        <v>170</v>
      </c>
      <c r="E34" s="67">
        <v>0.95</v>
      </c>
      <c r="F34" s="34" t="s">
        <v>573</v>
      </c>
      <c r="G34" s="36"/>
      <c r="H34" s="36"/>
      <c r="I34" s="36"/>
      <c r="J34" s="36"/>
      <c r="K34" s="36"/>
      <c r="L34" s="36"/>
      <c r="M34" s="36"/>
      <c r="N34" s="36"/>
      <c r="O34" s="36"/>
      <c r="P34" s="67">
        <v>1</v>
      </c>
      <c r="Q34" s="36"/>
      <c r="R34" s="36"/>
      <c r="S34" s="35" t="s">
        <v>152</v>
      </c>
      <c r="T34" s="135" t="s">
        <v>574</v>
      </c>
    </row>
    <row r="35" spans="1:20" ht="42.75">
      <c r="A35" s="30" t="s">
        <v>575</v>
      </c>
      <c r="B35" s="30" t="s">
        <v>576</v>
      </c>
      <c r="C35" s="30" t="s">
        <v>577</v>
      </c>
      <c r="D35" s="32" t="s">
        <v>78</v>
      </c>
      <c r="E35" s="32">
        <v>1</v>
      </c>
      <c r="F35" s="30" t="s">
        <v>578</v>
      </c>
      <c r="G35" s="32"/>
      <c r="H35" s="32"/>
      <c r="I35" s="32"/>
      <c r="J35" s="32"/>
      <c r="K35" s="32"/>
      <c r="L35" s="32"/>
      <c r="M35" s="32"/>
      <c r="N35" s="32">
        <v>1</v>
      </c>
      <c r="O35" s="32"/>
      <c r="P35" s="32"/>
      <c r="Q35" s="32"/>
      <c r="R35" s="32"/>
      <c r="S35" s="250">
        <v>0</v>
      </c>
      <c r="T35" s="240" t="s">
        <v>579</v>
      </c>
    </row>
    <row r="36" spans="1:20" ht="42.75">
      <c r="A36" s="158" t="s">
        <v>580</v>
      </c>
      <c r="B36" s="34" t="s">
        <v>581</v>
      </c>
      <c r="C36" s="34" t="s">
        <v>582</v>
      </c>
      <c r="D36" s="36" t="s">
        <v>78</v>
      </c>
      <c r="E36" s="36">
        <v>1</v>
      </c>
      <c r="F36" s="34" t="s">
        <v>583</v>
      </c>
      <c r="G36" s="36"/>
      <c r="H36" s="36"/>
      <c r="I36" s="67">
        <v>0.25</v>
      </c>
      <c r="J36" s="36"/>
      <c r="K36" s="36"/>
      <c r="L36" s="67">
        <v>0.25</v>
      </c>
      <c r="M36" s="36"/>
      <c r="N36" s="36"/>
      <c r="O36" s="67">
        <v>0.25</v>
      </c>
      <c r="P36" s="36"/>
      <c r="Q36" s="36"/>
      <c r="R36" s="67">
        <v>0.25</v>
      </c>
      <c r="S36" s="62">
        <v>0</v>
      </c>
      <c r="T36" s="135" t="s">
        <v>584</v>
      </c>
    </row>
    <row r="37" spans="1:20" ht="42.75">
      <c r="A37" s="30" t="s">
        <v>585</v>
      </c>
      <c r="B37" s="30" t="s">
        <v>581</v>
      </c>
      <c r="C37" s="30" t="s">
        <v>577</v>
      </c>
      <c r="D37" s="32" t="s">
        <v>78</v>
      </c>
      <c r="E37" s="32">
        <v>1</v>
      </c>
      <c r="F37" s="30" t="s">
        <v>586</v>
      </c>
      <c r="G37" s="32"/>
      <c r="H37" s="32"/>
      <c r="I37" s="216">
        <v>0.25</v>
      </c>
      <c r="J37" s="32"/>
      <c r="K37" s="32"/>
      <c r="L37" s="216">
        <v>0.25</v>
      </c>
      <c r="M37" s="32"/>
      <c r="N37" s="32"/>
      <c r="O37" s="216">
        <v>0.25</v>
      </c>
      <c r="P37" s="32"/>
      <c r="Q37" s="32"/>
      <c r="R37" s="216">
        <v>0.25</v>
      </c>
      <c r="S37" s="31">
        <f>'6- Presupuesto Comunicaciones'!U63</f>
        <v>2726500</v>
      </c>
      <c r="T37" s="97"/>
    </row>
  </sheetData>
  <mergeCells count="23">
    <mergeCell ref="A16:A23"/>
    <mergeCell ref="A24:A30"/>
    <mergeCell ref="A32:A33"/>
    <mergeCell ref="T32:T33"/>
    <mergeCell ref="G14:I14"/>
    <mergeCell ref="J14:L14"/>
    <mergeCell ref="M14:O14"/>
    <mergeCell ref="P14:R14"/>
    <mergeCell ref="S14:S15"/>
    <mergeCell ref="T14:T15"/>
    <mergeCell ref="S16:S23"/>
    <mergeCell ref="S24:S30"/>
    <mergeCell ref="S32:S33"/>
    <mergeCell ref="A14:A15"/>
    <mergeCell ref="B14:B15"/>
    <mergeCell ref="C14:C15"/>
    <mergeCell ref="D14:E14"/>
    <mergeCell ref="F14:F15"/>
    <mergeCell ref="A7:T7"/>
    <mergeCell ref="A8:T8"/>
    <mergeCell ref="B10:T10"/>
    <mergeCell ref="B11:T11"/>
    <mergeCell ref="B12:T1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4CB4-4EA5-499C-AC47-CF10ED9FE5BA}">
  <dimension ref="A8:V64"/>
  <sheetViews>
    <sheetView showGridLines="0" zoomScale="85" zoomScaleNormal="85" workbookViewId="0">
      <selection activeCell="A15" sqref="A15:A16"/>
    </sheetView>
  </sheetViews>
  <sheetFormatPr defaultColWidth="11.42578125" defaultRowHeight="14.25"/>
  <cols>
    <col min="1" max="1" width="45" style="27" customWidth="1"/>
    <col min="2" max="2" width="26" style="27" customWidth="1"/>
    <col min="3" max="3" width="21.7109375" style="27" customWidth="1"/>
    <col min="4" max="4" width="22.140625" style="56" customWidth="1"/>
    <col min="5" max="5" width="11.7109375" style="56" bestFit="1" customWidth="1"/>
    <col min="6" max="6" width="19" style="27" customWidth="1"/>
    <col min="7" max="7" width="17.85546875" style="27" customWidth="1"/>
    <col min="8" max="8" width="26" style="246" bestFit="1" customWidth="1"/>
    <col min="9" max="9" width="12.140625" style="27" customWidth="1"/>
    <col min="10" max="11" width="18.140625" style="27" bestFit="1" customWidth="1"/>
    <col min="12" max="12" width="19.85546875" style="27" customWidth="1"/>
    <col min="13" max="13" width="17.42578125" style="27" customWidth="1"/>
    <col min="14" max="14" width="17.28515625" style="27" customWidth="1"/>
    <col min="15" max="15" width="17.85546875" style="27" bestFit="1" customWidth="1"/>
    <col min="16" max="16" width="16.85546875" style="27" customWidth="1"/>
    <col min="17" max="17" width="18.140625" style="27" bestFit="1" customWidth="1"/>
    <col min="18" max="18" width="20.85546875" style="27" customWidth="1"/>
    <col min="19" max="19" width="17.85546875" style="27" customWidth="1"/>
    <col min="20" max="20" width="18.140625" style="27" bestFit="1" customWidth="1"/>
    <col min="21" max="21" width="20.5703125" style="247" customWidth="1"/>
    <col min="22" max="22" width="15.28515625" style="27" bestFit="1" customWidth="1"/>
    <col min="23" max="23" width="5" style="27" customWidth="1"/>
    <col min="24" max="24" width="3.42578125" style="27" customWidth="1"/>
    <col min="25" max="25" width="8.7109375" style="27" customWidth="1"/>
    <col min="26" max="16384" width="11.42578125" style="27"/>
  </cols>
  <sheetData>
    <row r="8" spans="1:22" ht="28.5" customHeight="1">
      <c r="A8" s="698" t="s">
        <v>60</v>
      </c>
      <c r="B8" s="698"/>
      <c r="C8" s="698"/>
      <c r="D8" s="698"/>
      <c r="E8" s="698"/>
      <c r="F8" s="698"/>
      <c r="G8" s="698"/>
      <c r="H8" s="698"/>
      <c r="I8" s="698"/>
      <c r="J8" s="698"/>
      <c r="K8" s="698"/>
      <c r="L8" s="698"/>
      <c r="M8" s="698"/>
      <c r="N8" s="698"/>
      <c r="O8" s="698"/>
      <c r="P8" s="698"/>
      <c r="Q8" s="698"/>
      <c r="R8" s="698"/>
      <c r="S8" s="698"/>
      <c r="T8" s="698"/>
      <c r="U8" s="698"/>
      <c r="V8" s="698"/>
    </row>
    <row r="9" spans="1:22" ht="20.25">
      <c r="A9" s="698" t="s">
        <v>61</v>
      </c>
      <c r="B9" s="698"/>
      <c r="C9" s="698"/>
      <c r="D9" s="698"/>
      <c r="E9" s="698"/>
      <c r="F9" s="698"/>
      <c r="G9" s="698"/>
      <c r="H9" s="698"/>
      <c r="I9" s="698"/>
      <c r="J9" s="698"/>
      <c r="K9" s="698"/>
      <c r="L9" s="698"/>
      <c r="M9" s="698"/>
      <c r="N9" s="698"/>
      <c r="O9" s="698"/>
      <c r="P9" s="698"/>
      <c r="Q9" s="698"/>
      <c r="R9" s="698"/>
      <c r="S9" s="698"/>
      <c r="T9" s="698"/>
      <c r="U9" s="698"/>
      <c r="V9" s="698"/>
    </row>
    <row r="10" spans="1:22" ht="20.25">
      <c r="A10" s="698" t="s">
        <v>137</v>
      </c>
      <c r="B10" s="698"/>
      <c r="C10" s="698"/>
      <c r="D10" s="698"/>
      <c r="E10" s="698"/>
      <c r="F10" s="698"/>
      <c r="G10" s="698"/>
      <c r="H10" s="698"/>
      <c r="I10" s="698"/>
      <c r="J10" s="698"/>
      <c r="K10" s="698"/>
      <c r="L10" s="698"/>
      <c r="M10" s="698"/>
      <c r="N10" s="698"/>
      <c r="O10" s="698"/>
      <c r="P10" s="698"/>
      <c r="Q10" s="698"/>
      <c r="R10" s="698"/>
      <c r="S10" s="698"/>
      <c r="T10" s="698"/>
      <c r="U10" s="698"/>
      <c r="V10" s="698"/>
    </row>
    <row r="11" spans="1:22" ht="20.25">
      <c r="A11" s="79" t="s">
        <v>62</v>
      </c>
      <c r="B11" s="699" t="s">
        <v>501</v>
      </c>
      <c r="C11" s="699"/>
      <c r="D11" s="699"/>
      <c r="E11" s="699"/>
      <c r="F11" s="699"/>
      <c r="G11" s="699"/>
      <c r="H11" s="699"/>
      <c r="I11" s="699"/>
      <c r="J11" s="699"/>
      <c r="K11" s="699"/>
      <c r="L11" s="699"/>
      <c r="M11" s="699"/>
      <c r="N11" s="699"/>
      <c r="O11" s="699"/>
      <c r="P11" s="699"/>
      <c r="Q11" s="699"/>
      <c r="R11" s="699"/>
      <c r="S11" s="699"/>
      <c r="T11" s="699"/>
      <c r="U11" s="699"/>
      <c r="V11" s="699"/>
    </row>
    <row r="12" spans="1:22" ht="20.25">
      <c r="A12" s="79" t="s">
        <v>63</v>
      </c>
      <c r="B12" s="699" t="s">
        <v>587</v>
      </c>
      <c r="C12" s="699"/>
      <c r="D12" s="699"/>
      <c r="E12" s="699"/>
      <c r="F12" s="699"/>
      <c r="G12" s="699"/>
      <c r="H12" s="699"/>
      <c r="I12" s="699"/>
      <c r="J12" s="699"/>
      <c r="K12" s="699"/>
      <c r="L12" s="699"/>
      <c r="M12" s="699"/>
      <c r="N12" s="699"/>
      <c r="O12" s="699"/>
      <c r="P12" s="699"/>
      <c r="Q12" s="699"/>
      <c r="R12" s="699"/>
      <c r="S12" s="699"/>
      <c r="T12" s="699"/>
      <c r="U12" s="699"/>
      <c r="V12" s="699"/>
    </row>
    <row r="13" spans="1:22" ht="20.25">
      <c r="A13" s="79" t="s">
        <v>65</v>
      </c>
      <c r="B13" s="700" t="s">
        <v>503</v>
      </c>
      <c r="C13" s="701"/>
      <c r="D13" s="701"/>
      <c r="E13" s="701"/>
      <c r="F13" s="701"/>
      <c r="G13" s="701"/>
      <c r="H13" s="701"/>
      <c r="I13" s="701"/>
      <c r="J13" s="701"/>
      <c r="K13" s="701"/>
      <c r="L13" s="701"/>
      <c r="M13" s="701"/>
      <c r="N13" s="701"/>
      <c r="O13" s="701"/>
      <c r="P13" s="701"/>
      <c r="Q13" s="701"/>
      <c r="R13" s="701"/>
      <c r="S13" s="701"/>
      <c r="T13" s="701"/>
      <c r="U13" s="701"/>
      <c r="V13" s="702"/>
    </row>
    <row r="15" spans="1:22" ht="18.75" customHeight="1">
      <c r="A15" s="708" t="s">
        <v>66</v>
      </c>
      <c r="B15" s="696" t="s">
        <v>70</v>
      </c>
      <c r="C15" s="714" t="s">
        <v>23</v>
      </c>
      <c r="D15" s="714" t="s">
        <v>139</v>
      </c>
      <c r="E15" s="714" t="s">
        <v>184</v>
      </c>
      <c r="F15" s="714" t="s">
        <v>141</v>
      </c>
      <c r="G15" s="714" t="s">
        <v>101</v>
      </c>
      <c r="H15" s="795" t="s">
        <v>142</v>
      </c>
      <c r="I15" s="697" t="s">
        <v>71</v>
      </c>
      <c r="J15" s="697"/>
      <c r="K15" s="697"/>
      <c r="L15" s="697" t="s">
        <v>72</v>
      </c>
      <c r="M15" s="697"/>
      <c r="N15" s="697"/>
      <c r="O15" s="697" t="s">
        <v>73</v>
      </c>
      <c r="P15" s="697"/>
      <c r="Q15" s="697"/>
      <c r="R15" s="697" t="s">
        <v>74</v>
      </c>
      <c r="S15" s="697"/>
      <c r="T15" s="697"/>
      <c r="U15" s="797" t="s">
        <v>75</v>
      </c>
      <c r="V15" s="696" t="s">
        <v>185</v>
      </c>
    </row>
    <row r="16" spans="1:22" s="53" customFormat="1" ht="32.25" customHeight="1">
      <c r="A16" s="709"/>
      <c r="B16" s="696"/>
      <c r="C16" s="715"/>
      <c r="D16" s="715"/>
      <c r="E16" s="715"/>
      <c r="F16" s="715"/>
      <c r="G16" s="715"/>
      <c r="H16" s="796"/>
      <c r="I16" s="52" t="s">
        <v>79</v>
      </c>
      <c r="J16" s="52" t="s">
        <v>80</v>
      </c>
      <c r="K16" s="52" t="s">
        <v>81</v>
      </c>
      <c r="L16" s="52" t="s">
        <v>82</v>
      </c>
      <c r="M16" s="52" t="s">
        <v>83</v>
      </c>
      <c r="N16" s="52" t="s">
        <v>84</v>
      </c>
      <c r="O16" s="52" t="s">
        <v>85</v>
      </c>
      <c r="P16" s="52" t="s">
        <v>86</v>
      </c>
      <c r="Q16" s="52" t="s">
        <v>87</v>
      </c>
      <c r="R16" s="52" t="s">
        <v>88</v>
      </c>
      <c r="S16" s="52" t="s">
        <v>89</v>
      </c>
      <c r="T16" s="52" t="s">
        <v>90</v>
      </c>
      <c r="U16" s="797"/>
      <c r="V16" s="696"/>
    </row>
    <row r="17" spans="1:22" ht="28.5">
      <c r="A17" s="706" t="s">
        <v>504</v>
      </c>
      <c r="B17" s="245" t="s">
        <v>514</v>
      </c>
      <c r="C17" s="765" t="s">
        <v>298</v>
      </c>
      <c r="D17" s="36" t="s">
        <v>588</v>
      </c>
      <c r="E17" s="36" t="s">
        <v>146</v>
      </c>
      <c r="F17" s="55" t="s">
        <v>589</v>
      </c>
      <c r="G17" s="36">
        <v>3</v>
      </c>
      <c r="H17" s="74">
        <v>50000</v>
      </c>
      <c r="I17" s="62">
        <v>0</v>
      </c>
      <c r="J17" s="74">
        <v>50000</v>
      </c>
      <c r="K17" s="62">
        <v>0</v>
      </c>
      <c r="L17" s="62">
        <v>0</v>
      </c>
      <c r="M17" s="74">
        <v>50000</v>
      </c>
      <c r="N17" s="62">
        <v>0</v>
      </c>
      <c r="O17" s="62">
        <v>0</v>
      </c>
      <c r="P17" s="74">
        <v>50000</v>
      </c>
      <c r="Q17" s="62">
        <v>0</v>
      </c>
      <c r="R17" s="62">
        <v>0</v>
      </c>
      <c r="S17" s="62">
        <v>0</v>
      </c>
      <c r="T17" s="62">
        <v>0</v>
      </c>
      <c r="U17" s="35">
        <f>SUM(I17:T17)</f>
        <v>150000</v>
      </c>
      <c r="V17" s="37"/>
    </row>
    <row r="18" spans="1:22" ht="42.75">
      <c r="A18" s="716"/>
      <c r="B18" s="34" t="s">
        <v>510</v>
      </c>
      <c r="C18" s="766"/>
      <c r="D18" s="159" t="s">
        <v>588</v>
      </c>
      <c r="E18" s="159" t="s">
        <v>146</v>
      </c>
      <c r="F18" s="55" t="s">
        <v>590</v>
      </c>
      <c r="G18" s="138" t="s">
        <v>591</v>
      </c>
      <c r="H18" s="74">
        <v>100000</v>
      </c>
      <c r="I18" s="248">
        <v>0</v>
      </c>
      <c r="J18" s="218">
        <v>0</v>
      </c>
      <c r="K18" s="74">
        <v>25000</v>
      </c>
      <c r="L18" s="218">
        <v>0</v>
      </c>
      <c r="M18" s="218">
        <v>0</v>
      </c>
      <c r="N18" s="74">
        <v>25000</v>
      </c>
      <c r="O18" s="218">
        <v>0</v>
      </c>
      <c r="P18" s="218">
        <v>0</v>
      </c>
      <c r="Q18" s="74">
        <v>25000</v>
      </c>
      <c r="R18" s="218">
        <v>0</v>
      </c>
      <c r="S18" s="74">
        <v>25000</v>
      </c>
      <c r="T18" s="218">
        <v>0</v>
      </c>
      <c r="U18" s="35">
        <f t="shared" ref="U18:U23" si="0">SUM(I18:T18)</f>
        <v>100000</v>
      </c>
      <c r="V18" s="135"/>
    </row>
    <row r="19" spans="1:22" ht="42.75">
      <c r="A19" s="716"/>
      <c r="B19" s="34" t="s">
        <v>530</v>
      </c>
      <c r="C19" s="766"/>
      <c r="D19" s="159" t="s">
        <v>592</v>
      </c>
      <c r="E19" s="159" t="s">
        <v>593</v>
      </c>
      <c r="F19" s="55" t="s">
        <v>150</v>
      </c>
      <c r="G19" s="36">
        <v>1</v>
      </c>
      <c r="H19" s="74" t="s">
        <v>594</v>
      </c>
      <c r="I19" s="62">
        <v>0</v>
      </c>
      <c r="J19" s="218">
        <v>0</v>
      </c>
      <c r="K19" s="35">
        <v>6000</v>
      </c>
      <c r="L19" s="62">
        <v>0</v>
      </c>
      <c r="M19" s="218">
        <v>0</v>
      </c>
      <c r="N19" s="62">
        <v>0</v>
      </c>
      <c r="O19" s="62">
        <v>0</v>
      </c>
      <c r="P19" s="218">
        <v>0</v>
      </c>
      <c r="Q19" s="62">
        <v>0</v>
      </c>
      <c r="R19" s="62">
        <v>0</v>
      </c>
      <c r="S19" s="62">
        <v>0</v>
      </c>
      <c r="T19" s="62">
        <v>0</v>
      </c>
      <c r="U19" s="35">
        <f t="shared" si="0"/>
        <v>6000</v>
      </c>
      <c r="V19" s="37"/>
    </row>
    <row r="20" spans="1:22">
      <c r="A20" s="716"/>
      <c r="B20" s="706" t="s">
        <v>522</v>
      </c>
      <c r="C20" s="766"/>
      <c r="D20" s="36" t="s">
        <v>595</v>
      </c>
      <c r="E20" s="36" t="s">
        <v>596</v>
      </c>
      <c r="F20" s="36" t="s">
        <v>147</v>
      </c>
      <c r="G20" s="36">
        <v>5</v>
      </c>
      <c r="H20" s="74">
        <v>600</v>
      </c>
      <c r="I20" s="62">
        <v>0</v>
      </c>
      <c r="J20" s="35">
        <v>3000</v>
      </c>
      <c r="K20" s="62">
        <v>0</v>
      </c>
      <c r="L20" s="62">
        <v>0</v>
      </c>
      <c r="M20" s="35">
        <v>3000</v>
      </c>
      <c r="N20" s="62">
        <v>0</v>
      </c>
      <c r="O20" s="62">
        <v>0</v>
      </c>
      <c r="P20" s="35">
        <v>3000</v>
      </c>
      <c r="Q20" s="62">
        <v>0</v>
      </c>
      <c r="R20" s="35">
        <v>3000</v>
      </c>
      <c r="S20" s="62">
        <v>0</v>
      </c>
      <c r="T20" s="62">
        <v>0</v>
      </c>
      <c r="U20" s="35">
        <f t="shared" si="0"/>
        <v>12000</v>
      </c>
      <c r="V20" s="37"/>
    </row>
    <row r="21" spans="1:22">
      <c r="A21" s="716"/>
      <c r="B21" s="716"/>
      <c r="C21" s="766"/>
      <c r="D21" s="36" t="s">
        <v>597</v>
      </c>
      <c r="E21" s="36" t="s">
        <v>188</v>
      </c>
      <c r="F21" s="36" t="s">
        <v>147</v>
      </c>
      <c r="G21" s="36">
        <v>5</v>
      </c>
      <c r="H21" s="74">
        <v>1500</v>
      </c>
      <c r="I21" s="62">
        <v>0</v>
      </c>
      <c r="J21" s="35">
        <v>7500</v>
      </c>
      <c r="K21" s="62">
        <v>0</v>
      </c>
      <c r="L21" s="62">
        <v>0</v>
      </c>
      <c r="M21" s="35">
        <v>7500</v>
      </c>
      <c r="N21" s="62">
        <v>0</v>
      </c>
      <c r="O21" s="62">
        <v>0</v>
      </c>
      <c r="P21" s="35">
        <v>7500</v>
      </c>
      <c r="Q21" s="62">
        <v>0</v>
      </c>
      <c r="R21" s="35">
        <v>7500</v>
      </c>
      <c r="S21" s="62">
        <v>0</v>
      </c>
      <c r="T21" s="62">
        <v>0</v>
      </c>
      <c r="U21" s="35">
        <f t="shared" si="0"/>
        <v>30000</v>
      </c>
      <c r="V21" s="37"/>
    </row>
    <row r="22" spans="1:22" ht="28.5">
      <c r="A22" s="716"/>
      <c r="B22" s="716"/>
      <c r="C22" s="766"/>
      <c r="D22" s="36" t="s">
        <v>588</v>
      </c>
      <c r="E22" s="36" t="s">
        <v>146</v>
      </c>
      <c r="F22" s="55" t="s">
        <v>78</v>
      </c>
      <c r="G22" s="138" t="s">
        <v>598</v>
      </c>
      <c r="H22" s="74">
        <v>100000</v>
      </c>
      <c r="I22" s="62">
        <v>0</v>
      </c>
      <c r="J22" s="35">
        <v>25000</v>
      </c>
      <c r="K22" s="248">
        <v>0</v>
      </c>
      <c r="L22" s="62">
        <v>0</v>
      </c>
      <c r="M22" s="35">
        <v>25000</v>
      </c>
      <c r="N22" s="62">
        <v>0</v>
      </c>
      <c r="O22" s="62">
        <v>0</v>
      </c>
      <c r="P22" s="35">
        <v>25000</v>
      </c>
      <c r="Q22" s="62">
        <v>0</v>
      </c>
      <c r="R22" s="35">
        <v>25000</v>
      </c>
      <c r="S22" s="62">
        <v>0</v>
      </c>
      <c r="T22" s="62">
        <v>0</v>
      </c>
      <c r="U22" s="35">
        <f t="shared" si="0"/>
        <v>100000</v>
      </c>
      <c r="V22" s="37"/>
    </row>
    <row r="23" spans="1:22" ht="28.5">
      <c r="A23" s="707"/>
      <c r="B23" s="707"/>
      <c r="C23" s="767"/>
      <c r="D23" s="55" t="s">
        <v>599</v>
      </c>
      <c r="E23" s="55" t="s">
        <v>600</v>
      </c>
      <c r="F23" s="36" t="s">
        <v>601</v>
      </c>
      <c r="G23" s="67">
        <v>0.95</v>
      </c>
      <c r="H23" s="74">
        <v>50000</v>
      </c>
      <c r="I23" s="62">
        <v>0</v>
      </c>
      <c r="J23" s="35">
        <v>12500</v>
      </c>
      <c r="K23" s="62">
        <v>0</v>
      </c>
      <c r="L23" s="62">
        <v>0</v>
      </c>
      <c r="M23" s="35">
        <v>12500</v>
      </c>
      <c r="N23" s="62">
        <v>0</v>
      </c>
      <c r="O23" s="62">
        <v>0</v>
      </c>
      <c r="P23" s="35">
        <v>12500</v>
      </c>
      <c r="Q23" s="62">
        <v>0</v>
      </c>
      <c r="R23" s="35">
        <v>12500</v>
      </c>
      <c r="S23" s="62">
        <v>0</v>
      </c>
      <c r="T23" s="62">
        <v>0</v>
      </c>
      <c r="U23" s="35">
        <f t="shared" si="0"/>
        <v>50000</v>
      </c>
      <c r="V23" s="37"/>
    </row>
    <row r="24" spans="1:22" ht="30" customHeight="1">
      <c r="A24" s="778" t="s">
        <v>534</v>
      </c>
      <c r="B24" s="781" t="s">
        <v>537</v>
      </c>
      <c r="C24" s="792" t="s">
        <v>298</v>
      </c>
      <c r="D24" s="75" t="s">
        <v>602</v>
      </c>
      <c r="E24" s="75" t="s">
        <v>443</v>
      </c>
      <c r="F24" s="32" t="s">
        <v>150</v>
      </c>
      <c r="G24" s="32">
        <v>1</v>
      </c>
      <c r="H24" s="249">
        <v>40000</v>
      </c>
      <c r="I24" s="250">
        <v>0</v>
      </c>
      <c r="J24" s="250">
        <v>0</v>
      </c>
      <c r="K24" s="250">
        <v>0</v>
      </c>
      <c r="L24" s="31">
        <v>60000</v>
      </c>
      <c r="M24" s="250">
        <v>0</v>
      </c>
      <c r="N24" s="250">
        <v>0</v>
      </c>
      <c r="O24" s="250">
        <v>0</v>
      </c>
      <c r="P24" s="250">
        <v>0</v>
      </c>
      <c r="Q24" s="250">
        <v>0</v>
      </c>
      <c r="R24" s="250">
        <v>0</v>
      </c>
      <c r="S24" s="250">
        <v>0</v>
      </c>
      <c r="T24" s="250">
        <v>0</v>
      </c>
      <c r="U24" s="31">
        <f>SUM(I24:T24)</f>
        <v>60000</v>
      </c>
      <c r="V24" s="33"/>
    </row>
    <row r="25" spans="1:22">
      <c r="A25" s="779"/>
      <c r="B25" s="791"/>
      <c r="C25" s="793"/>
      <c r="D25" s="75" t="s">
        <v>603</v>
      </c>
      <c r="E25" s="75" t="s">
        <v>604</v>
      </c>
      <c r="F25" s="32" t="s">
        <v>150</v>
      </c>
      <c r="G25" s="32">
        <v>45</v>
      </c>
      <c r="H25" s="249">
        <v>50</v>
      </c>
      <c r="I25" s="250">
        <v>0</v>
      </c>
      <c r="J25" s="250">
        <v>0</v>
      </c>
      <c r="K25" s="31">
        <v>750</v>
      </c>
      <c r="L25" s="250">
        <v>0</v>
      </c>
      <c r="M25" s="250">
        <v>0</v>
      </c>
      <c r="N25" s="31">
        <v>750</v>
      </c>
      <c r="O25" s="250">
        <v>0</v>
      </c>
      <c r="P25" s="250">
        <v>0</v>
      </c>
      <c r="Q25" s="250">
        <v>0</v>
      </c>
      <c r="R25" s="31">
        <v>750</v>
      </c>
      <c r="S25" s="250">
        <v>0</v>
      </c>
      <c r="T25" s="250">
        <v>0</v>
      </c>
      <c r="U25" s="31">
        <f t="shared" ref="U25:U39" si="1">SUM(I25:T25)</f>
        <v>2250</v>
      </c>
      <c r="V25" s="33"/>
    </row>
    <row r="26" spans="1:22" ht="71.25">
      <c r="A26" s="779"/>
      <c r="B26" s="791"/>
      <c r="C26" s="793"/>
      <c r="D26" s="75" t="s">
        <v>605</v>
      </c>
      <c r="E26" s="75" t="s">
        <v>443</v>
      </c>
      <c r="F26" s="32" t="s">
        <v>150</v>
      </c>
      <c r="G26" s="32">
        <v>200</v>
      </c>
      <c r="H26" s="249">
        <v>300</v>
      </c>
      <c r="I26" s="250">
        <v>0</v>
      </c>
      <c r="J26" s="250">
        <v>0</v>
      </c>
      <c r="K26" s="31">
        <v>1000</v>
      </c>
      <c r="L26" s="250">
        <v>0</v>
      </c>
      <c r="M26" s="250">
        <v>0</v>
      </c>
      <c r="N26" s="31">
        <v>1000</v>
      </c>
      <c r="O26" s="250">
        <v>0</v>
      </c>
      <c r="P26" s="250">
        <v>0</v>
      </c>
      <c r="Q26" s="250">
        <v>0</v>
      </c>
      <c r="R26" s="31">
        <v>1000</v>
      </c>
      <c r="S26" s="250">
        <v>0</v>
      </c>
      <c r="T26" s="250">
        <v>0</v>
      </c>
      <c r="U26" s="31">
        <f t="shared" si="1"/>
        <v>3000</v>
      </c>
      <c r="V26" s="33"/>
    </row>
    <row r="27" spans="1:22">
      <c r="A27" s="779"/>
      <c r="B27" s="791"/>
      <c r="C27" s="793"/>
      <c r="D27" s="75" t="s">
        <v>606</v>
      </c>
      <c r="E27" s="75" t="s">
        <v>443</v>
      </c>
      <c r="F27" s="32" t="s">
        <v>150</v>
      </c>
      <c r="G27" s="32">
        <v>2</v>
      </c>
      <c r="H27" s="249">
        <v>300</v>
      </c>
      <c r="I27" s="250">
        <v>0</v>
      </c>
      <c r="J27" s="250">
        <v>0</v>
      </c>
      <c r="K27" s="31">
        <v>300</v>
      </c>
      <c r="L27" s="250">
        <v>0</v>
      </c>
      <c r="M27" s="250">
        <v>0</v>
      </c>
      <c r="N27" s="31"/>
      <c r="O27" s="250">
        <v>0</v>
      </c>
      <c r="P27" s="250">
        <v>0</v>
      </c>
      <c r="Q27" s="250">
        <v>0</v>
      </c>
      <c r="R27" s="31">
        <v>300</v>
      </c>
      <c r="S27" s="250">
        <v>0</v>
      </c>
      <c r="T27" s="250">
        <v>0</v>
      </c>
      <c r="U27" s="31">
        <f t="shared" si="1"/>
        <v>600</v>
      </c>
      <c r="V27" s="33"/>
    </row>
    <row r="28" spans="1:22">
      <c r="A28" s="779"/>
      <c r="B28" s="791"/>
      <c r="C28" s="793"/>
      <c r="D28" s="75" t="s">
        <v>607</v>
      </c>
      <c r="E28" s="75" t="s">
        <v>149</v>
      </c>
      <c r="F28" s="32" t="s">
        <v>608</v>
      </c>
      <c r="G28" s="32">
        <v>2</v>
      </c>
      <c r="H28" s="249">
        <v>400</v>
      </c>
      <c r="I28" s="250">
        <v>0</v>
      </c>
      <c r="J28" s="250">
        <v>0</v>
      </c>
      <c r="K28" s="31">
        <v>400</v>
      </c>
      <c r="L28" s="250">
        <v>0</v>
      </c>
      <c r="M28" s="250">
        <v>0</v>
      </c>
      <c r="N28" s="31">
        <v>400</v>
      </c>
      <c r="O28" s="250">
        <v>0</v>
      </c>
      <c r="P28" s="250">
        <v>0</v>
      </c>
      <c r="Q28" s="250">
        <v>0</v>
      </c>
      <c r="R28" s="250">
        <v>0</v>
      </c>
      <c r="S28" s="250">
        <v>0</v>
      </c>
      <c r="T28" s="250">
        <v>0</v>
      </c>
      <c r="U28" s="31">
        <f t="shared" si="1"/>
        <v>800</v>
      </c>
      <c r="V28" s="33"/>
    </row>
    <row r="29" spans="1:22">
      <c r="A29" s="779"/>
      <c r="B29" s="791"/>
      <c r="C29" s="793"/>
      <c r="D29" s="75" t="s">
        <v>609</v>
      </c>
      <c r="E29" s="75" t="s">
        <v>149</v>
      </c>
      <c r="F29" s="32" t="s">
        <v>610</v>
      </c>
      <c r="G29" s="32">
        <v>2</v>
      </c>
      <c r="H29" s="249">
        <v>600</v>
      </c>
      <c r="I29" s="250">
        <v>0</v>
      </c>
      <c r="J29" s="250">
        <v>0</v>
      </c>
      <c r="K29" s="31">
        <v>600</v>
      </c>
      <c r="L29" s="250">
        <v>0</v>
      </c>
      <c r="M29" s="250">
        <v>0</v>
      </c>
      <c r="N29" s="31"/>
      <c r="O29" s="250">
        <v>0</v>
      </c>
      <c r="P29" s="250">
        <v>0</v>
      </c>
      <c r="Q29" s="250">
        <v>0</v>
      </c>
      <c r="R29" s="31">
        <v>600</v>
      </c>
      <c r="S29" s="250">
        <v>0</v>
      </c>
      <c r="T29" s="250">
        <v>0</v>
      </c>
      <c r="U29" s="31">
        <f t="shared" si="1"/>
        <v>1200</v>
      </c>
      <c r="V29" s="33"/>
    </row>
    <row r="30" spans="1:22">
      <c r="A30" s="779"/>
      <c r="B30" s="791"/>
      <c r="C30" s="793"/>
      <c r="D30" s="75" t="s">
        <v>611</v>
      </c>
      <c r="E30" s="75" t="s">
        <v>149</v>
      </c>
      <c r="F30" s="32" t="s">
        <v>608</v>
      </c>
      <c r="G30" s="32">
        <v>2</v>
      </c>
      <c r="H30" s="249">
        <v>400</v>
      </c>
      <c r="I30" s="250">
        <v>0</v>
      </c>
      <c r="J30" s="250">
        <v>0</v>
      </c>
      <c r="K30" s="31"/>
      <c r="L30" s="250">
        <v>0</v>
      </c>
      <c r="M30" s="250">
        <v>0</v>
      </c>
      <c r="N30" s="31">
        <v>400</v>
      </c>
      <c r="O30" s="250">
        <v>0</v>
      </c>
      <c r="P30" s="250">
        <v>0</v>
      </c>
      <c r="Q30" s="250">
        <v>0</v>
      </c>
      <c r="R30" s="31">
        <v>400</v>
      </c>
      <c r="S30" s="250">
        <v>0</v>
      </c>
      <c r="T30" s="250">
        <v>0</v>
      </c>
      <c r="U30" s="31">
        <f t="shared" si="1"/>
        <v>800</v>
      </c>
      <c r="V30" s="33"/>
    </row>
    <row r="31" spans="1:22" ht="28.5">
      <c r="A31" s="779"/>
      <c r="B31" s="791"/>
      <c r="C31" s="793"/>
      <c r="D31" s="75" t="s">
        <v>612</v>
      </c>
      <c r="E31" s="75" t="s">
        <v>443</v>
      </c>
      <c r="F31" s="32" t="s">
        <v>613</v>
      </c>
      <c r="G31" s="32">
        <v>25</v>
      </c>
      <c r="H31" s="249">
        <v>80</v>
      </c>
      <c r="I31" s="250">
        <v>0</v>
      </c>
      <c r="J31" s="250">
        <v>0</v>
      </c>
      <c r="K31" s="31">
        <v>500</v>
      </c>
      <c r="L31" s="250">
        <v>0</v>
      </c>
      <c r="M31" s="250">
        <v>0</v>
      </c>
      <c r="N31" s="31">
        <v>500</v>
      </c>
      <c r="O31" s="250">
        <v>0</v>
      </c>
      <c r="P31" s="250">
        <v>0</v>
      </c>
      <c r="Q31" s="250">
        <v>0</v>
      </c>
      <c r="R31" s="31">
        <v>500</v>
      </c>
      <c r="S31" s="250">
        <v>0</v>
      </c>
      <c r="T31" s="250">
        <v>0</v>
      </c>
      <c r="U31" s="31">
        <f t="shared" si="1"/>
        <v>1500</v>
      </c>
      <c r="V31" s="33"/>
    </row>
    <row r="32" spans="1:22">
      <c r="A32" s="779"/>
      <c r="B32" s="791"/>
      <c r="C32" s="793"/>
      <c r="D32" s="75" t="s">
        <v>614</v>
      </c>
      <c r="E32" s="75" t="s">
        <v>443</v>
      </c>
      <c r="F32" s="32" t="s">
        <v>610</v>
      </c>
      <c r="G32" s="32">
        <v>2</v>
      </c>
      <c r="H32" s="249">
        <v>700</v>
      </c>
      <c r="I32" s="250">
        <v>0</v>
      </c>
      <c r="J32" s="250">
        <v>0</v>
      </c>
      <c r="K32" s="31">
        <v>700</v>
      </c>
      <c r="L32" s="250">
        <v>0</v>
      </c>
      <c r="M32" s="250">
        <v>0</v>
      </c>
      <c r="N32" s="31"/>
      <c r="O32" s="250">
        <v>0</v>
      </c>
      <c r="P32" s="250">
        <v>0</v>
      </c>
      <c r="Q32" s="250">
        <v>0</v>
      </c>
      <c r="R32" s="31">
        <v>700</v>
      </c>
      <c r="S32" s="250">
        <v>0</v>
      </c>
      <c r="T32" s="250">
        <v>0</v>
      </c>
      <c r="U32" s="31">
        <f t="shared" si="1"/>
        <v>1400</v>
      </c>
      <c r="V32" s="33"/>
    </row>
    <row r="33" spans="1:22">
      <c r="A33" s="779"/>
      <c r="B33" s="791"/>
      <c r="C33" s="793"/>
      <c r="D33" s="75" t="s">
        <v>615</v>
      </c>
      <c r="E33" s="75" t="s">
        <v>443</v>
      </c>
      <c r="F33" s="32" t="s">
        <v>610</v>
      </c>
      <c r="G33" s="32">
        <v>2</v>
      </c>
      <c r="H33" s="249">
        <v>700</v>
      </c>
      <c r="I33" s="250">
        <v>0</v>
      </c>
      <c r="J33" s="250">
        <v>0</v>
      </c>
      <c r="K33" s="31">
        <v>700</v>
      </c>
      <c r="L33" s="250">
        <v>0</v>
      </c>
      <c r="M33" s="250">
        <v>0</v>
      </c>
      <c r="N33" s="31">
        <v>700</v>
      </c>
      <c r="O33" s="250">
        <v>0</v>
      </c>
      <c r="P33" s="250">
        <v>0</v>
      </c>
      <c r="Q33" s="250">
        <v>0</v>
      </c>
      <c r="R33" s="250">
        <v>0</v>
      </c>
      <c r="S33" s="250">
        <v>0</v>
      </c>
      <c r="T33" s="250">
        <v>0</v>
      </c>
      <c r="U33" s="31">
        <f t="shared" si="1"/>
        <v>1400</v>
      </c>
      <c r="V33" s="33"/>
    </row>
    <row r="34" spans="1:22">
      <c r="A34" s="779"/>
      <c r="B34" s="791"/>
      <c r="C34" s="793"/>
      <c r="D34" s="75" t="s">
        <v>616</v>
      </c>
      <c r="E34" s="75" t="s">
        <v>443</v>
      </c>
      <c r="F34" s="32" t="s">
        <v>617</v>
      </c>
      <c r="G34" s="32">
        <v>9</v>
      </c>
      <c r="H34" s="249">
        <v>200</v>
      </c>
      <c r="I34" s="250">
        <v>0</v>
      </c>
      <c r="J34" s="250">
        <v>0</v>
      </c>
      <c r="K34" s="31">
        <v>600</v>
      </c>
      <c r="L34" s="250">
        <v>0</v>
      </c>
      <c r="M34" s="250">
        <v>0</v>
      </c>
      <c r="N34" s="31">
        <v>400</v>
      </c>
      <c r="O34" s="250">
        <v>0</v>
      </c>
      <c r="P34" s="250">
        <v>0</v>
      </c>
      <c r="Q34" s="250">
        <v>0</v>
      </c>
      <c r="R34" s="31">
        <v>1000</v>
      </c>
      <c r="S34" s="250">
        <v>0</v>
      </c>
      <c r="T34" s="250">
        <v>0</v>
      </c>
      <c r="U34" s="31">
        <f t="shared" si="1"/>
        <v>2000</v>
      </c>
      <c r="V34" s="33"/>
    </row>
    <row r="35" spans="1:22">
      <c r="A35" s="779"/>
      <c r="B35" s="791"/>
      <c r="C35" s="793"/>
      <c r="D35" s="75" t="s">
        <v>618</v>
      </c>
      <c r="E35" s="75" t="s">
        <v>149</v>
      </c>
      <c r="F35" s="32" t="s">
        <v>150</v>
      </c>
      <c r="G35" s="32">
        <v>10</v>
      </c>
      <c r="H35" s="249">
        <v>300</v>
      </c>
      <c r="I35" s="250">
        <v>0</v>
      </c>
      <c r="J35" s="250">
        <v>0</v>
      </c>
      <c r="K35" s="31">
        <v>900</v>
      </c>
      <c r="L35" s="250">
        <v>0</v>
      </c>
      <c r="M35" s="250">
        <v>0</v>
      </c>
      <c r="N35" s="31">
        <v>900</v>
      </c>
      <c r="O35" s="250">
        <v>0</v>
      </c>
      <c r="P35" s="250">
        <v>0</v>
      </c>
      <c r="Q35" s="250">
        <v>0</v>
      </c>
      <c r="R35" s="31">
        <v>1200</v>
      </c>
      <c r="S35" s="250">
        <v>0</v>
      </c>
      <c r="T35" s="250">
        <v>0</v>
      </c>
      <c r="U35" s="31">
        <f t="shared" si="1"/>
        <v>3000</v>
      </c>
      <c r="V35" s="33"/>
    </row>
    <row r="36" spans="1:22">
      <c r="A36" s="779"/>
      <c r="B36" s="791"/>
      <c r="C36" s="793"/>
      <c r="D36" s="75" t="s">
        <v>619</v>
      </c>
      <c r="E36" s="75" t="s">
        <v>443</v>
      </c>
      <c r="F36" s="32" t="s">
        <v>617</v>
      </c>
      <c r="G36" s="32">
        <v>2</v>
      </c>
      <c r="H36" s="249">
        <v>400</v>
      </c>
      <c r="I36" s="250">
        <v>0</v>
      </c>
      <c r="J36" s="250">
        <v>0</v>
      </c>
      <c r="K36" s="31">
        <v>400</v>
      </c>
      <c r="L36" s="250">
        <v>0</v>
      </c>
      <c r="M36" s="250">
        <v>0</v>
      </c>
      <c r="N36" s="31"/>
      <c r="O36" s="250">
        <v>0</v>
      </c>
      <c r="P36" s="250">
        <v>0</v>
      </c>
      <c r="Q36" s="250">
        <v>0</v>
      </c>
      <c r="R36" s="31">
        <v>400</v>
      </c>
      <c r="S36" s="250">
        <v>0</v>
      </c>
      <c r="T36" s="250">
        <v>0</v>
      </c>
      <c r="U36" s="31">
        <f t="shared" si="1"/>
        <v>800</v>
      </c>
      <c r="V36" s="33"/>
    </row>
    <row r="37" spans="1:22">
      <c r="A37" s="779"/>
      <c r="B37" s="791"/>
      <c r="C37" s="793"/>
      <c r="D37" s="75" t="s">
        <v>620</v>
      </c>
      <c r="E37" s="75" t="s">
        <v>443</v>
      </c>
      <c r="F37" s="32" t="s">
        <v>150</v>
      </c>
      <c r="G37" s="32">
        <v>1</v>
      </c>
      <c r="H37" s="249">
        <v>300</v>
      </c>
      <c r="I37" s="250">
        <v>0</v>
      </c>
      <c r="J37" s="250">
        <v>0</v>
      </c>
      <c r="K37" s="250">
        <v>0</v>
      </c>
      <c r="L37" s="250">
        <v>0</v>
      </c>
      <c r="M37" s="250">
        <v>0</v>
      </c>
      <c r="N37" s="31">
        <v>300</v>
      </c>
      <c r="O37" s="250">
        <v>0</v>
      </c>
      <c r="P37" s="250">
        <v>0</v>
      </c>
      <c r="Q37" s="250">
        <v>0</v>
      </c>
      <c r="R37" s="250">
        <v>0</v>
      </c>
      <c r="S37" s="250">
        <v>0</v>
      </c>
      <c r="T37" s="250">
        <v>0</v>
      </c>
      <c r="U37" s="31">
        <f t="shared" si="1"/>
        <v>300</v>
      </c>
      <c r="V37" s="33"/>
    </row>
    <row r="38" spans="1:22" ht="28.5">
      <c r="A38" s="779"/>
      <c r="B38" s="782"/>
      <c r="C38" s="793"/>
      <c r="D38" s="251" t="s">
        <v>621</v>
      </c>
      <c r="E38" s="251" t="s">
        <v>443</v>
      </c>
      <c r="F38" s="32" t="s">
        <v>384</v>
      </c>
      <c r="G38" s="32">
        <v>2</v>
      </c>
      <c r="H38" s="249">
        <v>200</v>
      </c>
      <c r="I38" s="250">
        <v>0</v>
      </c>
      <c r="J38" s="250">
        <v>0</v>
      </c>
      <c r="K38" s="31">
        <v>200</v>
      </c>
      <c r="L38" s="250">
        <v>0</v>
      </c>
      <c r="M38" s="250">
        <v>0</v>
      </c>
      <c r="N38" s="31"/>
      <c r="O38" s="250">
        <v>0</v>
      </c>
      <c r="P38" s="250">
        <v>0</v>
      </c>
      <c r="Q38" s="250">
        <v>0</v>
      </c>
      <c r="R38" s="31">
        <v>200</v>
      </c>
      <c r="S38" s="250">
        <v>0</v>
      </c>
      <c r="T38" s="250">
        <v>0</v>
      </c>
      <c r="U38" s="31">
        <f t="shared" si="1"/>
        <v>400</v>
      </c>
      <c r="V38" s="33"/>
    </row>
    <row r="39" spans="1:22" ht="32.25" customHeight="1">
      <c r="A39" s="779"/>
      <c r="B39" s="30" t="s">
        <v>548</v>
      </c>
      <c r="C39" s="794"/>
      <c r="D39" s="75" t="s">
        <v>622</v>
      </c>
      <c r="E39" s="252" t="s">
        <v>198</v>
      </c>
      <c r="F39" s="253" t="s">
        <v>147</v>
      </c>
      <c r="G39" s="32">
        <v>1</v>
      </c>
      <c r="H39" s="76">
        <v>200000</v>
      </c>
      <c r="I39" s="250">
        <v>0</v>
      </c>
      <c r="J39" s="250">
        <v>0</v>
      </c>
      <c r="K39" s="250">
        <v>0</v>
      </c>
      <c r="L39" s="31">
        <v>200000</v>
      </c>
      <c r="M39" s="250">
        <v>0</v>
      </c>
      <c r="N39" s="31"/>
      <c r="O39" s="250">
        <v>0</v>
      </c>
      <c r="P39" s="250">
        <v>0</v>
      </c>
      <c r="Q39" s="250">
        <v>0</v>
      </c>
      <c r="R39" s="250">
        <v>0</v>
      </c>
      <c r="S39" s="250">
        <v>0</v>
      </c>
      <c r="T39" s="250">
        <v>0</v>
      </c>
      <c r="U39" s="31">
        <f t="shared" si="1"/>
        <v>200000</v>
      </c>
      <c r="V39" s="33"/>
    </row>
    <row r="40" spans="1:22" ht="45" customHeight="1">
      <c r="A40" s="54" t="s">
        <v>558</v>
      </c>
      <c r="B40" s="34" t="s">
        <v>561</v>
      </c>
      <c r="C40" s="55" t="s">
        <v>186</v>
      </c>
      <c r="D40" s="254" t="s">
        <v>623</v>
      </c>
      <c r="E40" s="254" t="s">
        <v>201</v>
      </c>
      <c r="F40" s="36" t="s">
        <v>624</v>
      </c>
      <c r="G40" s="36">
        <v>5</v>
      </c>
      <c r="H40" s="74">
        <v>2000</v>
      </c>
      <c r="I40" s="62">
        <v>0</v>
      </c>
      <c r="J40" s="35">
        <f>G40*H40</f>
        <v>10000</v>
      </c>
      <c r="K40" s="62">
        <v>0</v>
      </c>
      <c r="L40" s="62">
        <v>0</v>
      </c>
      <c r="M40" s="62">
        <v>0</v>
      </c>
      <c r="N40" s="62">
        <v>0</v>
      </c>
      <c r="O40" s="62">
        <v>0</v>
      </c>
      <c r="P40" s="62">
        <v>0</v>
      </c>
      <c r="Q40" s="62">
        <v>0</v>
      </c>
      <c r="R40" s="62">
        <v>0</v>
      </c>
      <c r="S40" s="62">
        <v>0</v>
      </c>
      <c r="T40" s="62">
        <v>0</v>
      </c>
      <c r="U40" s="35">
        <f>SUM(I40:T40)</f>
        <v>10000</v>
      </c>
      <c r="V40" s="37"/>
    </row>
    <row r="41" spans="1:22" ht="64.5" customHeight="1">
      <c r="A41" s="781" t="s">
        <v>563</v>
      </c>
      <c r="B41" s="781" t="s">
        <v>625</v>
      </c>
      <c r="C41" s="792" t="s">
        <v>186</v>
      </c>
      <c r="D41" s="32" t="s">
        <v>299</v>
      </c>
      <c r="E41" s="32" t="s">
        <v>188</v>
      </c>
      <c r="F41" s="32" t="s">
        <v>147</v>
      </c>
      <c r="G41" s="32">
        <v>5</v>
      </c>
      <c r="H41" s="255">
        <v>500</v>
      </c>
      <c r="I41" s="250">
        <v>0</v>
      </c>
      <c r="J41" s="250">
        <v>0</v>
      </c>
      <c r="K41" s="256">
        <v>2500</v>
      </c>
      <c r="L41" s="250">
        <v>0</v>
      </c>
      <c r="M41" s="250">
        <v>0</v>
      </c>
      <c r="N41" s="256">
        <v>2500</v>
      </c>
      <c r="O41" s="250">
        <v>0</v>
      </c>
      <c r="P41" s="250">
        <v>0</v>
      </c>
      <c r="Q41" s="256">
        <v>2500</v>
      </c>
      <c r="R41" s="250">
        <v>0</v>
      </c>
      <c r="S41" s="250">
        <v>0</v>
      </c>
      <c r="T41" s="256">
        <v>2500</v>
      </c>
      <c r="U41" s="31">
        <f>SUM(I41:T41)</f>
        <v>10000</v>
      </c>
      <c r="V41" s="33"/>
    </row>
    <row r="42" spans="1:22" ht="64.5" customHeight="1">
      <c r="A42" s="791"/>
      <c r="B42" s="791"/>
      <c r="C42" s="793"/>
      <c r="D42" s="32" t="s">
        <v>626</v>
      </c>
      <c r="E42" s="32"/>
      <c r="F42" s="32" t="s">
        <v>435</v>
      </c>
      <c r="G42" s="32">
        <v>1</v>
      </c>
      <c r="H42" s="255">
        <v>20000</v>
      </c>
      <c r="I42" s="250"/>
      <c r="J42" s="250"/>
      <c r="K42" s="256">
        <v>20000</v>
      </c>
      <c r="L42" s="250"/>
      <c r="M42" s="250"/>
      <c r="N42" s="256"/>
      <c r="O42" s="250"/>
      <c r="P42" s="250"/>
      <c r="Q42" s="256"/>
      <c r="R42" s="250"/>
      <c r="S42" s="250"/>
      <c r="T42" s="256"/>
      <c r="U42" s="250">
        <v>0</v>
      </c>
      <c r="V42" s="33"/>
    </row>
    <row r="43" spans="1:22" ht="23.25" customHeight="1">
      <c r="A43" s="791"/>
      <c r="B43" s="791"/>
      <c r="C43" s="793"/>
      <c r="D43" s="32" t="s">
        <v>595</v>
      </c>
      <c r="E43" s="32" t="s">
        <v>596</v>
      </c>
      <c r="F43" s="32" t="s">
        <v>147</v>
      </c>
      <c r="G43" s="32">
        <v>5</v>
      </c>
      <c r="H43" s="255">
        <v>700</v>
      </c>
      <c r="I43" s="250">
        <v>0</v>
      </c>
      <c r="J43" s="250">
        <v>0</v>
      </c>
      <c r="K43" s="257">
        <v>3500</v>
      </c>
      <c r="L43" s="250">
        <v>0</v>
      </c>
      <c r="M43" s="250">
        <v>0</v>
      </c>
      <c r="N43" s="257">
        <v>3500</v>
      </c>
      <c r="O43" s="250">
        <v>0</v>
      </c>
      <c r="P43" s="250">
        <v>0</v>
      </c>
      <c r="Q43" s="257">
        <v>3500</v>
      </c>
      <c r="R43" s="250">
        <v>0</v>
      </c>
      <c r="S43" s="250">
        <v>0</v>
      </c>
      <c r="T43" s="257">
        <v>3500</v>
      </c>
      <c r="U43" s="31">
        <v>13700</v>
      </c>
      <c r="V43" s="33"/>
    </row>
    <row r="44" spans="1:22" ht="23.25" customHeight="1">
      <c r="A44" s="791"/>
      <c r="B44" s="782"/>
      <c r="C44" s="794"/>
      <c r="D44" s="32" t="s">
        <v>588</v>
      </c>
      <c r="E44" s="32" t="s">
        <v>146</v>
      </c>
      <c r="F44" s="32" t="s">
        <v>627</v>
      </c>
      <c r="G44" s="216" t="s">
        <v>628</v>
      </c>
      <c r="H44" s="255">
        <v>25000</v>
      </c>
      <c r="I44" s="250">
        <v>0</v>
      </c>
      <c r="J44" s="250">
        <v>0</v>
      </c>
      <c r="K44" s="255">
        <v>25000</v>
      </c>
      <c r="L44" s="250">
        <v>0</v>
      </c>
      <c r="M44" s="250">
        <v>0</v>
      </c>
      <c r="N44" s="255">
        <v>25000</v>
      </c>
      <c r="O44" s="250">
        <v>0</v>
      </c>
      <c r="P44" s="250">
        <v>0</v>
      </c>
      <c r="Q44" s="255">
        <v>25000</v>
      </c>
      <c r="R44" s="250">
        <v>0</v>
      </c>
      <c r="S44" s="250">
        <v>0</v>
      </c>
      <c r="T44" s="255">
        <v>25000</v>
      </c>
      <c r="U44" s="31">
        <f t="shared" ref="U44:U59" si="2">SUM(I44:T44)</f>
        <v>100000</v>
      </c>
      <c r="V44" s="33"/>
    </row>
    <row r="45" spans="1:22" ht="38.25" customHeight="1">
      <c r="A45" s="791"/>
      <c r="B45" s="781" t="s">
        <v>629</v>
      </c>
      <c r="C45" s="792" t="s">
        <v>186</v>
      </c>
      <c r="D45" s="32" t="s">
        <v>630</v>
      </c>
      <c r="E45" s="32" t="s">
        <v>149</v>
      </c>
      <c r="F45" s="32" t="s">
        <v>150</v>
      </c>
      <c r="G45" s="32">
        <v>200</v>
      </c>
      <c r="H45" s="249">
        <v>70</v>
      </c>
      <c r="I45" s="250">
        <v>0</v>
      </c>
      <c r="J45" s="250">
        <v>0</v>
      </c>
      <c r="K45" s="250">
        <v>0</v>
      </c>
      <c r="L45" s="250">
        <v>14000</v>
      </c>
      <c r="M45" s="250">
        <v>0</v>
      </c>
      <c r="N45" s="250">
        <v>0</v>
      </c>
      <c r="O45" s="250">
        <v>0</v>
      </c>
      <c r="P45" s="250">
        <v>0</v>
      </c>
      <c r="Q45" s="250">
        <v>0</v>
      </c>
      <c r="R45" s="250">
        <v>0</v>
      </c>
      <c r="S45" s="250">
        <v>0</v>
      </c>
      <c r="T45" s="250">
        <v>0</v>
      </c>
      <c r="U45" s="31">
        <f t="shared" si="2"/>
        <v>14000</v>
      </c>
      <c r="V45" s="33"/>
    </row>
    <row r="46" spans="1:22" ht="38.25" customHeight="1">
      <c r="A46" s="791"/>
      <c r="B46" s="791"/>
      <c r="C46" s="793"/>
      <c r="D46" s="32" t="s">
        <v>631</v>
      </c>
      <c r="E46" s="32" t="s">
        <v>149</v>
      </c>
      <c r="F46" s="32" t="s">
        <v>150</v>
      </c>
      <c r="G46" s="32">
        <v>200</v>
      </c>
      <c r="H46" s="249">
        <v>300</v>
      </c>
      <c r="I46" s="250">
        <v>0</v>
      </c>
      <c r="J46" s="250">
        <v>0</v>
      </c>
      <c r="K46" s="250">
        <v>0</v>
      </c>
      <c r="L46" s="250">
        <v>60000</v>
      </c>
      <c r="M46" s="250">
        <v>0</v>
      </c>
      <c r="N46" s="250">
        <v>0</v>
      </c>
      <c r="O46" s="250">
        <v>0</v>
      </c>
      <c r="P46" s="250">
        <v>0</v>
      </c>
      <c r="Q46" s="250">
        <v>0</v>
      </c>
      <c r="R46" s="250">
        <v>0</v>
      </c>
      <c r="S46" s="250">
        <v>0</v>
      </c>
      <c r="T46" s="250">
        <v>0</v>
      </c>
      <c r="U46" s="31">
        <f t="shared" si="2"/>
        <v>60000</v>
      </c>
      <c r="V46" s="33"/>
    </row>
    <row r="47" spans="1:22" ht="23.25" customHeight="1">
      <c r="A47" s="791"/>
      <c r="B47" s="791"/>
      <c r="C47" s="793"/>
      <c r="D47" s="32" t="s">
        <v>632</v>
      </c>
      <c r="E47" s="32" t="s">
        <v>201</v>
      </c>
      <c r="F47" s="32" t="s">
        <v>150</v>
      </c>
      <c r="G47" s="32">
        <v>300</v>
      </c>
      <c r="H47" s="249">
        <v>100</v>
      </c>
      <c r="I47" s="250">
        <v>0</v>
      </c>
      <c r="J47" s="250">
        <v>0</v>
      </c>
      <c r="K47" s="250">
        <v>0</v>
      </c>
      <c r="L47" s="250">
        <v>30000</v>
      </c>
      <c r="M47" s="250">
        <v>0</v>
      </c>
      <c r="N47" s="250">
        <v>0</v>
      </c>
      <c r="O47" s="250">
        <v>0</v>
      </c>
      <c r="P47" s="250">
        <v>0</v>
      </c>
      <c r="Q47" s="250">
        <v>0</v>
      </c>
      <c r="R47" s="250">
        <v>0</v>
      </c>
      <c r="S47" s="250">
        <v>0</v>
      </c>
      <c r="T47" s="250">
        <v>0</v>
      </c>
      <c r="U47" s="31">
        <f t="shared" si="2"/>
        <v>30000</v>
      </c>
      <c r="V47" s="33"/>
    </row>
    <row r="48" spans="1:22" ht="23.25" customHeight="1">
      <c r="A48" s="791"/>
      <c r="B48" s="791"/>
      <c r="C48" s="793"/>
      <c r="D48" s="32" t="s">
        <v>633</v>
      </c>
      <c r="E48" s="32" t="s">
        <v>201</v>
      </c>
      <c r="F48" s="32" t="s">
        <v>150</v>
      </c>
      <c r="G48" s="32">
        <v>200</v>
      </c>
      <c r="H48" s="249">
        <v>100</v>
      </c>
      <c r="I48" s="250">
        <v>0</v>
      </c>
      <c r="J48" s="250">
        <v>0</v>
      </c>
      <c r="K48" s="250">
        <v>0</v>
      </c>
      <c r="L48" s="250">
        <v>20000</v>
      </c>
      <c r="M48" s="250">
        <v>0</v>
      </c>
      <c r="N48" s="250">
        <v>0</v>
      </c>
      <c r="O48" s="250">
        <v>0</v>
      </c>
      <c r="P48" s="250">
        <v>0</v>
      </c>
      <c r="Q48" s="250">
        <v>0</v>
      </c>
      <c r="R48" s="250">
        <v>0</v>
      </c>
      <c r="S48" s="250">
        <v>0</v>
      </c>
      <c r="T48" s="250">
        <v>0</v>
      </c>
      <c r="U48" s="31">
        <f t="shared" si="2"/>
        <v>20000</v>
      </c>
      <c r="V48" s="33"/>
    </row>
    <row r="49" spans="1:22" ht="23.25" customHeight="1">
      <c r="A49" s="791"/>
      <c r="B49" s="791"/>
      <c r="C49" s="793"/>
      <c r="D49" s="32" t="s">
        <v>634</v>
      </c>
      <c r="E49" s="32" t="s">
        <v>201</v>
      </c>
      <c r="F49" s="32" t="s">
        <v>150</v>
      </c>
      <c r="G49" s="32">
        <v>25</v>
      </c>
      <c r="H49" s="249">
        <v>5000</v>
      </c>
      <c r="I49" s="250">
        <v>0</v>
      </c>
      <c r="J49" s="250">
        <v>0</v>
      </c>
      <c r="K49" s="250">
        <v>0</v>
      </c>
      <c r="L49" s="250">
        <v>50000</v>
      </c>
      <c r="M49" s="250">
        <v>0</v>
      </c>
      <c r="N49" s="250">
        <v>0</v>
      </c>
      <c r="O49" s="250">
        <v>0</v>
      </c>
      <c r="P49" s="250">
        <v>0</v>
      </c>
      <c r="Q49" s="250">
        <v>0</v>
      </c>
      <c r="R49" s="250">
        <v>0</v>
      </c>
      <c r="S49" s="250">
        <v>0</v>
      </c>
      <c r="T49" s="250">
        <v>0</v>
      </c>
      <c r="U49" s="31">
        <f t="shared" si="2"/>
        <v>50000</v>
      </c>
      <c r="V49" s="33"/>
    </row>
    <row r="50" spans="1:22" ht="23.25" customHeight="1">
      <c r="A50" s="791"/>
      <c r="B50" s="791"/>
      <c r="C50" s="793"/>
      <c r="D50" s="32" t="s">
        <v>635</v>
      </c>
      <c r="E50" s="32" t="s">
        <v>149</v>
      </c>
      <c r="F50" s="32" t="s">
        <v>150</v>
      </c>
      <c r="G50" s="32">
        <v>60</v>
      </c>
      <c r="H50" s="249">
        <v>150</v>
      </c>
      <c r="I50" s="250">
        <v>0</v>
      </c>
      <c r="J50" s="250">
        <v>0</v>
      </c>
      <c r="K50" s="250">
        <v>0</v>
      </c>
      <c r="L50" s="250">
        <v>9000</v>
      </c>
      <c r="M50" s="250">
        <v>0</v>
      </c>
      <c r="N50" s="250">
        <v>0</v>
      </c>
      <c r="O50" s="250">
        <v>0</v>
      </c>
      <c r="P50" s="250">
        <v>0</v>
      </c>
      <c r="Q50" s="250">
        <v>0</v>
      </c>
      <c r="R50" s="250">
        <v>0</v>
      </c>
      <c r="S50" s="250">
        <v>0</v>
      </c>
      <c r="T50" s="250">
        <v>0</v>
      </c>
      <c r="U50" s="31">
        <f t="shared" si="2"/>
        <v>9000</v>
      </c>
      <c r="V50" s="33"/>
    </row>
    <row r="51" spans="1:22" ht="23.25" customHeight="1">
      <c r="A51" s="791"/>
      <c r="B51" s="791"/>
      <c r="C51" s="793"/>
      <c r="D51" s="32" t="s">
        <v>636</v>
      </c>
      <c r="E51" s="32" t="s">
        <v>149</v>
      </c>
      <c r="F51" s="32" t="s">
        <v>150</v>
      </c>
      <c r="G51" s="32">
        <v>60</v>
      </c>
      <c r="H51" s="249">
        <v>80</v>
      </c>
      <c r="I51" s="250">
        <v>0</v>
      </c>
      <c r="J51" s="250">
        <v>0</v>
      </c>
      <c r="K51" s="250">
        <v>0</v>
      </c>
      <c r="L51" s="250">
        <v>4800</v>
      </c>
      <c r="M51" s="250">
        <v>0</v>
      </c>
      <c r="N51" s="250">
        <v>0</v>
      </c>
      <c r="O51" s="250">
        <v>0</v>
      </c>
      <c r="P51" s="250">
        <v>0</v>
      </c>
      <c r="Q51" s="250">
        <v>0</v>
      </c>
      <c r="R51" s="250">
        <v>0</v>
      </c>
      <c r="S51" s="250">
        <v>0</v>
      </c>
      <c r="T51" s="250">
        <v>0</v>
      </c>
      <c r="U51" s="31">
        <f t="shared" si="2"/>
        <v>4800</v>
      </c>
      <c r="V51" s="33"/>
    </row>
    <row r="52" spans="1:22" ht="23.25" customHeight="1">
      <c r="A52" s="791"/>
      <c r="B52" s="791"/>
      <c r="C52" s="793"/>
      <c r="D52" s="32" t="s">
        <v>637</v>
      </c>
      <c r="E52" s="32" t="s">
        <v>149</v>
      </c>
      <c r="F52" s="32" t="s">
        <v>150</v>
      </c>
      <c r="G52" s="32">
        <v>150</v>
      </c>
      <c r="H52" s="249">
        <v>100</v>
      </c>
      <c r="I52" s="250">
        <v>0</v>
      </c>
      <c r="J52" s="250">
        <v>0</v>
      </c>
      <c r="K52" s="250">
        <v>0</v>
      </c>
      <c r="L52" s="250">
        <v>15000</v>
      </c>
      <c r="M52" s="250">
        <v>0</v>
      </c>
      <c r="N52" s="250">
        <v>0</v>
      </c>
      <c r="O52" s="250">
        <v>0</v>
      </c>
      <c r="P52" s="250">
        <v>0</v>
      </c>
      <c r="Q52" s="250">
        <v>0</v>
      </c>
      <c r="R52" s="250">
        <v>0</v>
      </c>
      <c r="S52" s="250">
        <v>0</v>
      </c>
      <c r="T52" s="250">
        <v>0</v>
      </c>
      <c r="U52" s="31">
        <f t="shared" si="2"/>
        <v>15000</v>
      </c>
      <c r="V52" s="33"/>
    </row>
    <row r="53" spans="1:22" ht="23.25" customHeight="1">
      <c r="A53" s="791"/>
      <c r="B53" s="791"/>
      <c r="C53" s="793"/>
      <c r="D53" s="32" t="s">
        <v>638</v>
      </c>
      <c r="E53" s="32" t="s">
        <v>149</v>
      </c>
      <c r="F53" s="32" t="s">
        <v>150</v>
      </c>
      <c r="G53" s="32">
        <v>50</v>
      </c>
      <c r="H53" s="249">
        <v>250</v>
      </c>
      <c r="I53" s="250">
        <v>0</v>
      </c>
      <c r="J53" s="250">
        <v>0</v>
      </c>
      <c r="K53" s="250">
        <v>0</v>
      </c>
      <c r="L53" s="250">
        <v>12500</v>
      </c>
      <c r="M53" s="250">
        <v>0</v>
      </c>
      <c r="N53" s="250">
        <v>0</v>
      </c>
      <c r="O53" s="250">
        <v>0</v>
      </c>
      <c r="P53" s="250">
        <v>0</v>
      </c>
      <c r="Q53" s="250">
        <v>0</v>
      </c>
      <c r="R53" s="250">
        <v>0</v>
      </c>
      <c r="S53" s="250">
        <v>0</v>
      </c>
      <c r="T53" s="250">
        <v>0</v>
      </c>
      <c r="U53" s="31">
        <f t="shared" si="2"/>
        <v>12500</v>
      </c>
      <c r="V53" s="33"/>
    </row>
    <row r="54" spans="1:22" ht="21.75" customHeight="1">
      <c r="A54" s="791"/>
      <c r="B54" s="791"/>
      <c r="C54" s="793"/>
      <c r="D54" s="32" t="s">
        <v>639</v>
      </c>
      <c r="E54" s="32" t="s">
        <v>149</v>
      </c>
      <c r="F54" s="32" t="s">
        <v>150</v>
      </c>
      <c r="G54" s="32">
        <v>200</v>
      </c>
      <c r="H54" s="249">
        <v>70</v>
      </c>
      <c r="I54" s="250">
        <v>0</v>
      </c>
      <c r="J54" s="250">
        <v>0</v>
      </c>
      <c r="K54" s="250">
        <v>0</v>
      </c>
      <c r="L54" s="250">
        <v>14000</v>
      </c>
      <c r="M54" s="250">
        <v>0</v>
      </c>
      <c r="N54" s="250">
        <v>0</v>
      </c>
      <c r="O54" s="250">
        <v>0</v>
      </c>
      <c r="P54" s="250">
        <v>0</v>
      </c>
      <c r="Q54" s="250">
        <v>0</v>
      </c>
      <c r="R54" s="250">
        <v>0</v>
      </c>
      <c r="S54" s="250">
        <v>0</v>
      </c>
      <c r="T54" s="250">
        <v>0</v>
      </c>
      <c r="U54" s="31">
        <f t="shared" si="2"/>
        <v>14000</v>
      </c>
      <c r="V54" s="33"/>
    </row>
    <row r="55" spans="1:22" ht="33.75" customHeight="1">
      <c r="A55" s="791"/>
      <c r="B55" s="791"/>
      <c r="C55" s="793"/>
      <c r="D55" s="75" t="s">
        <v>640</v>
      </c>
      <c r="E55" s="75" t="s">
        <v>198</v>
      </c>
      <c r="F55" s="32" t="s">
        <v>641</v>
      </c>
      <c r="G55" s="32">
        <v>1</v>
      </c>
      <c r="H55" s="249">
        <v>10000</v>
      </c>
      <c r="I55" s="250">
        <v>0</v>
      </c>
      <c r="J55" s="250">
        <v>0</v>
      </c>
      <c r="K55" s="250">
        <v>0</v>
      </c>
      <c r="L55" s="250">
        <v>0</v>
      </c>
      <c r="M55" s="250">
        <v>0</v>
      </c>
      <c r="N55" s="250">
        <v>0</v>
      </c>
      <c r="O55" s="250">
        <v>10000</v>
      </c>
      <c r="P55" s="250">
        <v>0</v>
      </c>
      <c r="Q55" s="250">
        <v>0</v>
      </c>
      <c r="R55" s="250">
        <v>0</v>
      </c>
      <c r="S55" s="250">
        <v>0</v>
      </c>
      <c r="T55" s="250">
        <v>0</v>
      </c>
      <c r="U55" s="31">
        <f t="shared" si="2"/>
        <v>10000</v>
      </c>
      <c r="V55" s="33"/>
    </row>
    <row r="56" spans="1:22" ht="46.5" customHeight="1">
      <c r="A56" s="791"/>
      <c r="B56" s="791"/>
      <c r="C56" s="793"/>
      <c r="D56" s="75" t="s">
        <v>642</v>
      </c>
      <c r="E56" s="75" t="s">
        <v>149</v>
      </c>
      <c r="F56" s="32" t="s">
        <v>641</v>
      </c>
      <c r="G56" s="32">
        <v>1</v>
      </c>
      <c r="H56" s="249">
        <v>50000</v>
      </c>
      <c r="I56" s="250">
        <v>0</v>
      </c>
      <c r="J56" s="250">
        <v>0</v>
      </c>
      <c r="K56" s="250">
        <v>0</v>
      </c>
      <c r="L56" s="250">
        <v>0</v>
      </c>
      <c r="M56" s="250">
        <v>0</v>
      </c>
      <c r="N56" s="250">
        <v>0</v>
      </c>
      <c r="O56" s="250">
        <v>50000</v>
      </c>
      <c r="P56" s="250">
        <v>0</v>
      </c>
      <c r="Q56" s="250">
        <v>0</v>
      </c>
      <c r="R56" s="250">
        <v>0</v>
      </c>
      <c r="S56" s="250">
        <v>0</v>
      </c>
      <c r="T56" s="250">
        <v>0</v>
      </c>
      <c r="U56" s="31">
        <f t="shared" si="2"/>
        <v>50000</v>
      </c>
      <c r="V56" s="33"/>
    </row>
    <row r="57" spans="1:22" ht="23.25" customHeight="1">
      <c r="A57" s="791"/>
      <c r="B57" s="791"/>
      <c r="C57" s="793"/>
      <c r="D57" s="75" t="s">
        <v>299</v>
      </c>
      <c r="E57" s="75" t="s">
        <v>188</v>
      </c>
      <c r="F57" s="32" t="s">
        <v>147</v>
      </c>
      <c r="G57" s="32">
        <v>5</v>
      </c>
      <c r="H57" s="249">
        <v>500</v>
      </c>
      <c r="I57" s="250">
        <v>0</v>
      </c>
      <c r="J57" s="250">
        <v>0</v>
      </c>
      <c r="K57" s="250">
        <v>0</v>
      </c>
      <c r="L57" s="250">
        <v>0</v>
      </c>
      <c r="M57" s="250">
        <v>0</v>
      </c>
      <c r="N57" s="250">
        <v>0</v>
      </c>
      <c r="O57" s="250">
        <v>2500</v>
      </c>
      <c r="P57" s="250">
        <v>0</v>
      </c>
      <c r="Q57" s="250">
        <v>0</v>
      </c>
      <c r="R57" s="250">
        <v>0</v>
      </c>
      <c r="S57" s="250">
        <v>0</v>
      </c>
      <c r="T57" s="250">
        <v>0</v>
      </c>
      <c r="U57" s="31">
        <f t="shared" si="2"/>
        <v>2500</v>
      </c>
      <c r="V57" s="33"/>
    </row>
    <row r="58" spans="1:22" ht="23.25" customHeight="1">
      <c r="A58" s="791"/>
      <c r="B58" s="791"/>
      <c r="C58" s="793"/>
      <c r="D58" s="75" t="s">
        <v>643</v>
      </c>
      <c r="E58" s="75" t="s">
        <v>644</v>
      </c>
      <c r="F58" s="32" t="s">
        <v>150</v>
      </c>
      <c r="G58" s="32">
        <v>10</v>
      </c>
      <c r="H58" s="249">
        <v>500</v>
      </c>
      <c r="I58" s="250">
        <v>0</v>
      </c>
      <c r="J58" s="250">
        <v>0</v>
      </c>
      <c r="K58" s="250">
        <v>0</v>
      </c>
      <c r="L58" s="250">
        <v>0</v>
      </c>
      <c r="M58" s="250">
        <v>0</v>
      </c>
      <c r="N58" s="250">
        <v>0</v>
      </c>
      <c r="O58" s="250">
        <v>5000</v>
      </c>
      <c r="P58" s="250">
        <v>0</v>
      </c>
      <c r="Q58" s="250">
        <v>0</v>
      </c>
      <c r="R58" s="250">
        <v>0</v>
      </c>
      <c r="S58" s="250">
        <v>0</v>
      </c>
      <c r="T58" s="250">
        <v>0</v>
      </c>
      <c r="U58" s="31">
        <f t="shared" si="2"/>
        <v>5000</v>
      </c>
      <c r="V58" s="33"/>
    </row>
    <row r="59" spans="1:22" ht="21.75" customHeight="1">
      <c r="A59" s="782"/>
      <c r="B59" s="782"/>
      <c r="C59" s="794"/>
      <c r="D59" s="75" t="s">
        <v>595</v>
      </c>
      <c r="E59" s="75" t="s">
        <v>596</v>
      </c>
      <c r="F59" s="32" t="s">
        <v>645</v>
      </c>
      <c r="G59" s="32">
        <v>5</v>
      </c>
      <c r="H59" s="249">
        <v>700</v>
      </c>
      <c r="I59" s="250">
        <v>0</v>
      </c>
      <c r="J59" s="250">
        <v>0</v>
      </c>
      <c r="K59" s="250">
        <v>0</v>
      </c>
      <c r="L59" s="250">
        <v>0</v>
      </c>
      <c r="M59" s="250">
        <v>0</v>
      </c>
      <c r="N59" s="250">
        <v>0</v>
      </c>
      <c r="O59" s="250">
        <v>3500</v>
      </c>
      <c r="P59" s="250">
        <v>0</v>
      </c>
      <c r="Q59" s="250">
        <v>0</v>
      </c>
      <c r="R59" s="250">
        <v>0</v>
      </c>
      <c r="S59" s="250">
        <v>0</v>
      </c>
      <c r="T59" s="250">
        <v>0</v>
      </c>
      <c r="U59" s="31">
        <f t="shared" si="2"/>
        <v>3500</v>
      </c>
      <c r="V59" s="33"/>
    </row>
    <row r="60" spans="1:22" ht="48.75" customHeight="1">
      <c r="A60" s="771" t="s">
        <v>570</v>
      </c>
      <c r="B60" s="706" t="s">
        <v>573</v>
      </c>
      <c r="C60" s="765" t="s">
        <v>646</v>
      </c>
      <c r="D60" s="55" t="s">
        <v>647</v>
      </c>
      <c r="E60" s="55"/>
      <c r="F60" s="55" t="s">
        <v>648</v>
      </c>
      <c r="G60" s="36">
        <v>1</v>
      </c>
      <c r="H60" s="74"/>
      <c r="I60" s="62">
        <v>0</v>
      </c>
      <c r="J60" s="62">
        <v>0</v>
      </c>
      <c r="K60" s="62">
        <v>0</v>
      </c>
      <c r="L60" s="62">
        <v>0</v>
      </c>
      <c r="M60" s="62">
        <v>0</v>
      </c>
      <c r="N60" s="62">
        <v>0</v>
      </c>
      <c r="O60" s="62">
        <v>0</v>
      </c>
      <c r="P60" s="62">
        <v>0</v>
      </c>
      <c r="Q60" s="62">
        <v>0</v>
      </c>
      <c r="R60" s="62">
        <v>0</v>
      </c>
      <c r="S60" s="62">
        <v>0</v>
      </c>
      <c r="T60" s="62">
        <v>0</v>
      </c>
      <c r="U60" s="62">
        <f>SUM(I60:T60)</f>
        <v>0</v>
      </c>
      <c r="V60" s="37"/>
    </row>
    <row r="61" spans="1:22" ht="24.75" customHeight="1">
      <c r="A61" s="801"/>
      <c r="B61" s="716"/>
      <c r="C61" s="766"/>
      <c r="D61" s="55" t="s">
        <v>649</v>
      </c>
      <c r="E61" s="55"/>
      <c r="F61" s="36" t="s">
        <v>650</v>
      </c>
      <c r="G61" s="36">
        <v>70</v>
      </c>
      <c r="H61" s="74"/>
      <c r="I61" s="62">
        <v>0</v>
      </c>
      <c r="J61" s="62">
        <v>0</v>
      </c>
      <c r="K61" s="62">
        <v>0</v>
      </c>
      <c r="L61" s="62">
        <v>0</v>
      </c>
      <c r="M61" s="62">
        <v>0</v>
      </c>
      <c r="N61" s="62">
        <v>0</v>
      </c>
      <c r="O61" s="62">
        <v>0</v>
      </c>
      <c r="P61" s="62">
        <v>0</v>
      </c>
      <c r="Q61" s="62">
        <v>0</v>
      </c>
      <c r="R61" s="62">
        <v>0</v>
      </c>
      <c r="S61" s="62">
        <v>0</v>
      </c>
      <c r="T61" s="62">
        <v>0</v>
      </c>
      <c r="U61" s="62">
        <f t="shared" ref="U61:U62" si="3">SUM(I61:T61)</f>
        <v>0</v>
      </c>
      <c r="V61" s="37"/>
    </row>
    <row r="62" spans="1:22" ht="37.5" customHeight="1">
      <c r="A62" s="801"/>
      <c r="B62" s="716"/>
      <c r="C62" s="767"/>
      <c r="D62" s="55" t="s">
        <v>651</v>
      </c>
      <c r="E62" s="55"/>
      <c r="F62" s="36" t="s">
        <v>650</v>
      </c>
      <c r="G62" s="36"/>
      <c r="H62" s="74"/>
      <c r="I62" s="62">
        <v>0</v>
      </c>
      <c r="J62" s="62">
        <v>0</v>
      </c>
      <c r="K62" s="62">
        <v>0</v>
      </c>
      <c r="L62" s="62">
        <v>0</v>
      </c>
      <c r="M62" s="62">
        <v>0</v>
      </c>
      <c r="N62" s="62">
        <v>0</v>
      </c>
      <c r="O62" s="62">
        <v>0</v>
      </c>
      <c r="P62" s="62">
        <v>0</v>
      </c>
      <c r="Q62" s="62">
        <v>0</v>
      </c>
      <c r="R62" s="62">
        <v>0</v>
      </c>
      <c r="S62" s="62">
        <v>0</v>
      </c>
      <c r="T62" s="62">
        <v>0</v>
      </c>
      <c r="U62" s="62">
        <f t="shared" si="3"/>
        <v>0</v>
      </c>
      <c r="V62" s="37"/>
    </row>
    <row r="63" spans="1:22" ht="57">
      <c r="A63" s="57" t="s">
        <v>585</v>
      </c>
      <c r="B63" s="57" t="s">
        <v>586</v>
      </c>
      <c r="C63" s="60" t="s">
        <v>27</v>
      </c>
      <c r="D63" s="59" t="s">
        <v>652</v>
      </c>
      <c r="E63" s="59"/>
      <c r="F63" s="59" t="s">
        <v>653</v>
      </c>
      <c r="G63" s="60" t="s">
        <v>271</v>
      </c>
      <c r="H63" s="220">
        <v>50000</v>
      </c>
      <c r="I63" s="61">
        <v>0</v>
      </c>
      <c r="J63" s="61">
        <v>0</v>
      </c>
      <c r="K63" s="61">
        <v>0</v>
      </c>
      <c r="L63" s="61">
        <v>0</v>
      </c>
      <c r="M63" s="61">
        <v>0</v>
      </c>
      <c r="N63" s="61">
        <v>0</v>
      </c>
      <c r="O63" s="61">
        <v>0</v>
      </c>
      <c r="P63" s="61">
        <v>0</v>
      </c>
      <c r="Q63" s="61">
        <v>0</v>
      </c>
      <c r="R63" s="61">
        <v>0</v>
      </c>
      <c r="S63" s="61">
        <v>0</v>
      </c>
      <c r="T63" s="154">
        <f>H63*54.53</f>
        <v>2726500</v>
      </c>
      <c r="U63" s="68">
        <f>SUM(I63:T63)</f>
        <v>2726500</v>
      </c>
      <c r="V63" s="91"/>
    </row>
    <row r="64" spans="1:22" ht="15">
      <c r="A64" s="798" t="s">
        <v>654</v>
      </c>
      <c r="B64" s="799"/>
      <c r="C64" s="799"/>
      <c r="D64" s="799"/>
      <c r="E64" s="799"/>
      <c r="F64" s="799"/>
      <c r="G64" s="799"/>
      <c r="H64" s="800"/>
      <c r="I64" s="100">
        <f t="shared" ref="I64:U64" si="4">SUM(I17:I63)</f>
        <v>0</v>
      </c>
      <c r="J64" s="77">
        <f t="shared" si="4"/>
        <v>108000</v>
      </c>
      <c r="K64" s="77">
        <f t="shared" si="4"/>
        <v>89050</v>
      </c>
      <c r="L64" s="77">
        <f t="shared" si="4"/>
        <v>489300</v>
      </c>
      <c r="M64" s="77">
        <f t="shared" si="4"/>
        <v>98000</v>
      </c>
      <c r="N64" s="77">
        <f t="shared" si="4"/>
        <v>61350</v>
      </c>
      <c r="O64" s="100">
        <f t="shared" si="4"/>
        <v>71000</v>
      </c>
      <c r="P64" s="77">
        <f t="shared" si="4"/>
        <v>98000</v>
      </c>
      <c r="Q64" s="77">
        <f t="shared" si="4"/>
        <v>56000</v>
      </c>
      <c r="R64" s="77">
        <f t="shared" si="4"/>
        <v>55050</v>
      </c>
      <c r="S64" s="77">
        <f t="shared" si="4"/>
        <v>25000</v>
      </c>
      <c r="T64" s="100">
        <f t="shared" si="4"/>
        <v>2757500</v>
      </c>
      <c r="U64" s="77">
        <f t="shared" si="4"/>
        <v>3887950</v>
      </c>
      <c r="V64" s="45"/>
    </row>
  </sheetData>
  <mergeCells count="35">
    <mergeCell ref="A64:H64"/>
    <mergeCell ref="A41:A59"/>
    <mergeCell ref="B41:B44"/>
    <mergeCell ref="C41:C44"/>
    <mergeCell ref="B45:B59"/>
    <mergeCell ref="C45:C59"/>
    <mergeCell ref="A60:A62"/>
    <mergeCell ref="B60:B62"/>
    <mergeCell ref="C60:C62"/>
    <mergeCell ref="U15:U16"/>
    <mergeCell ref="V15:V16"/>
    <mergeCell ref="A17:A23"/>
    <mergeCell ref="C17:C23"/>
    <mergeCell ref="B20:B23"/>
    <mergeCell ref="I15:K15"/>
    <mergeCell ref="L15:N15"/>
    <mergeCell ref="O15:Q15"/>
    <mergeCell ref="R15:T15"/>
    <mergeCell ref="A24:A39"/>
    <mergeCell ref="B24:B38"/>
    <mergeCell ref="C24:C39"/>
    <mergeCell ref="G15:G16"/>
    <mergeCell ref="H15:H16"/>
    <mergeCell ref="A15:A16"/>
    <mergeCell ref="B15:B16"/>
    <mergeCell ref="C15:C16"/>
    <mergeCell ref="D15:D16"/>
    <mergeCell ref="E15:E16"/>
    <mergeCell ref="F15:F16"/>
    <mergeCell ref="B13:V13"/>
    <mergeCell ref="A8:V8"/>
    <mergeCell ref="A9:V9"/>
    <mergeCell ref="A10:V10"/>
    <mergeCell ref="B11:V11"/>
    <mergeCell ref="B12:V12"/>
  </mergeCells>
  <pageMargins left="0.7" right="0.7" top="0.75" bottom="0.75" header="0.3" footer="0.3"/>
  <ignoredErrors>
    <ignoredError sqref="U17:U63" formulaRange="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30CB-E350-47FB-856E-9E2854EB93C0}">
  <dimension ref="A8:BN32"/>
  <sheetViews>
    <sheetView showGridLines="0" workbookViewId="0">
      <selection activeCell="A8" sqref="A8:T9"/>
    </sheetView>
  </sheetViews>
  <sheetFormatPr defaultColWidth="11.42578125" defaultRowHeight="14.25"/>
  <cols>
    <col min="1" max="1" width="50.28515625" style="27" customWidth="1"/>
    <col min="2" max="2" width="30.85546875" style="27" customWidth="1"/>
    <col min="3" max="3" width="33.85546875" style="64" customWidth="1"/>
    <col min="4" max="4" width="19.140625" style="27" customWidth="1"/>
    <col min="5" max="5" width="13.42578125" style="27" customWidth="1"/>
    <col min="6" max="6" width="53.42578125" style="27" customWidth="1"/>
    <col min="7" max="7" width="8.7109375" style="27" customWidth="1"/>
    <col min="8" max="8" width="9.85546875" style="27" customWidth="1"/>
    <col min="9" max="11" width="8.7109375" style="27" customWidth="1"/>
    <col min="12" max="12" width="9.42578125" style="27" customWidth="1"/>
    <col min="13" max="14" width="8.7109375" style="27" customWidth="1"/>
    <col min="15" max="15" width="13.42578125" style="27" customWidth="1"/>
    <col min="16" max="16" width="9.85546875" style="27" customWidth="1"/>
    <col min="17" max="17" width="14.7109375" style="27" customWidth="1"/>
    <col min="18" max="18" width="14.140625" style="27" customWidth="1"/>
    <col min="19" max="19" width="16.140625" style="27" bestFit="1" customWidth="1"/>
    <col min="20" max="20" width="36.85546875" style="27" customWidth="1"/>
    <col min="21" max="16384" width="11.42578125" style="27"/>
  </cols>
  <sheetData>
    <row r="8" spans="1:20" ht="20.25">
      <c r="A8" s="698" t="s">
        <v>60</v>
      </c>
      <c r="B8" s="698"/>
      <c r="C8" s="698"/>
      <c r="D8" s="698"/>
      <c r="E8" s="698"/>
      <c r="F8" s="698"/>
      <c r="G8" s="698"/>
      <c r="H8" s="698"/>
      <c r="I8" s="698"/>
      <c r="J8" s="698"/>
      <c r="K8" s="698"/>
      <c r="L8" s="698"/>
      <c r="M8" s="698"/>
      <c r="N8" s="698"/>
      <c r="O8" s="698"/>
      <c r="P8" s="698"/>
      <c r="Q8" s="698"/>
      <c r="R8" s="698"/>
      <c r="S8" s="698"/>
      <c r="T8" s="698"/>
    </row>
    <row r="9" spans="1:20" ht="20.25">
      <c r="A9" s="698" t="s">
        <v>61</v>
      </c>
      <c r="B9" s="698"/>
      <c r="C9" s="698"/>
      <c r="D9" s="698"/>
      <c r="E9" s="698"/>
      <c r="F9" s="698"/>
      <c r="G9" s="698"/>
      <c r="H9" s="698"/>
      <c r="I9" s="698"/>
      <c r="J9" s="698"/>
      <c r="K9" s="698"/>
      <c r="L9" s="698"/>
      <c r="M9" s="698"/>
      <c r="N9" s="698"/>
      <c r="O9" s="698"/>
      <c r="P9" s="698"/>
      <c r="Q9" s="698"/>
      <c r="R9" s="698"/>
      <c r="S9" s="698"/>
      <c r="T9" s="698"/>
    </row>
    <row r="10" spans="1:20" ht="20.25">
      <c r="A10" s="49"/>
      <c r="B10" s="49"/>
      <c r="C10" s="48"/>
      <c r="D10" s="49"/>
      <c r="E10" s="49"/>
      <c r="F10" s="49"/>
      <c r="G10" s="49"/>
      <c r="H10" s="49"/>
      <c r="I10" s="49"/>
      <c r="J10" s="49"/>
      <c r="K10" s="49"/>
      <c r="L10" s="49"/>
      <c r="M10" s="49"/>
      <c r="N10" s="49"/>
      <c r="O10" s="49"/>
      <c r="P10" s="49"/>
      <c r="Q10" s="49"/>
      <c r="R10" s="49"/>
      <c r="S10" s="49"/>
      <c r="T10" s="49"/>
    </row>
    <row r="11" spans="1:20" ht="20.25">
      <c r="A11" s="259" t="s">
        <v>62</v>
      </c>
      <c r="B11" s="699" t="s">
        <v>657</v>
      </c>
      <c r="C11" s="699"/>
      <c r="D11" s="699"/>
      <c r="E11" s="699"/>
      <c r="F11" s="699"/>
      <c r="G11" s="699"/>
      <c r="H11" s="699"/>
      <c r="I11" s="699"/>
      <c r="J11" s="699"/>
      <c r="K11" s="699"/>
      <c r="L11" s="699"/>
      <c r="M11" s="699"/>
      <c r="N11" s="699"/>
      <c r="O11" s="699"/>
      <c r="P11" s="699"/>
      <c r="Q11" s="699"/>
      <c r="R11" s="699"/>
      <c r="S11" s="699"/>
      <c r="T11" s="699"/>
    </row>
    <row r="12" spans="1:20" ht="20.25">
      <c r="A12" s="259" t="s">
        <v>63</v>
      </c>
      <c r="B12" s="699" t="s">
        <v>658</v>
      </c>
      <c r="C12" s="699"/>
      <c r="D12" s="699"/>
      <c r="E12" s="699"/>
      <c r="F12" s="699"/>
      <c r="G12" s="699"/>
      <c r="H12" s="699"/>
      <c r="I12" s="699"/>
      <c r="J12" s="699"/>
      <c r="K12" s="699"/>
      <c r="L12" s="699"/>
      <c r="M12" s="699"/>
      <c r="N12" s="699"/>
      <c r="O12" s="699"/>
      <c r="P12" s="699"/>
      <c r="Q12" s="699"/>
      <c r="R12" s="699"/>
      <c r="S12" s="699"/>
      <c r="T12" s="699"/>
    </row>
    <row r="13" spans="1:20" ht="20.25">
      <c r="A13" s="259" t="s">
        <v>65</v>
      </c>
      <c r="B13" s="699" t="s">
        <v>659</v>
      </c>
      <c r="C13" s="699"/>
      <c r="D13" s="699"/>
      <c r="E13" s="699"/>
      <c r="F13" s="699"/>
      <c r="G13" s="699"/>
      <c r="H13" s="699"/>
      <c r="I13" s="699"/>
      <c r="J13" s="699"/>
      <c r="K13" s="699"/>
      <c r="L13" s="699"/>
      <c r="M13" s="699"/>
      <c r="N13" s="699"/>
      <c r="O13" s="699"/>
      <c r="P13" s="699"/>
      <c r="Q13" s="699"/>
      <c r="R13" s="699"/>
      <c r="S13" s="699"/>
      <c r="T13" s="699"/>
    </row>
    <row r="14" spans="1:20" ht="20.25">
      <c r="A14" s="259" t="s">
        <v>157</v>
      </c>
      <c r="B14" s="699" t="s">
        <v>660</v>
      </c>
      <c r="C14" s="699"/>
      <c r="D14" s="699"/>
      <c r="E14" s="699"/>
      <c r="F14" s="699"/>
      <c r="G14" s="699"/>
      <c r="H14" s="699"/>
      <c r="I14" s="699"/>
      <c r="J14" s="699"/>
      <c r="K14" s="699"/>
      <c r="L14" s="699"/>
      <c r="M14" s="699"/>
      <c r="N14" s="699"/>
      <c r="O14" s="699"/>
      <c r="P14" s="699"/>
      <c r="Q14" s="699"/>
      <c r="R14" s="699"/>
      <c r="S14" s="699"/>
      <c r="T14" s="699"/>
    </row>
    <row r="16" spans="1:20" ht="15">
      <c r="A16" s="696" t="s">
        <v>66</v>
      </c>
      <c r="B16" s="696" t="s">
        <v>67</v>
      </c>
      <c r="C16" s="696" t="s">
        <v>68</v>
      </c>
      <c r="D16" s="710" t="s">
        <v>69</v>
      </c>
      <c r="E16" s="710"/>
      <c r="F16" s="696" t="s">
        <v>70</v>
      </c>
      <c r="G16" s="697" t="s">
        <v>71</v>
      </c>
      <c r="H16" s="697"/>
      <c r="I16" s="697"/>
      <c r="J16" s="697" t="s">
        <v>72</v>
      </c>
      <c r="K16" s="697"/>
      <c r="L16" s="697"/>
      <c r="M16" s="697" t="s">
        <v>73</v>
      </c>
      <c r="N16" s="697"/>
      <c r="O16" s="697"/>
      <c r="P16" s="697" t="s">
        <v>74</v>
      </c>
      <c r="Q16" s="697"/>
      <c r="R16" s="697"/>
      <c r="S16" s="806" t="s">
        <v>75</v>
      </c>
      <c r="T16" s="696" t="s">
        <v>76</v>
      </c>
    </row>
    <row r="17" spans="1:66" s="53" customFormat="1" ht="30">
      <c r="A17" s="696"/>
      <c r="B17" s="696"/>
      <c r="C17" s="696"/>
      <c r="D17" s="51" t="s">
        <v>77</v>
      </c>
      <c r="E17" s="51" t="s">
        <v>78</v>
      </c>
      <c r="F17" s="696"/>
      <c r="G17" s="51" t="s">
        <v>79</v>
      </c>
      <c r="H17" s="51" t="s">
        <v>80</v>
      </c>
      <c r="I17" s="51" t="s">
        <v>81</v>
      </c>
      <c r="J17" s="51" t="s">
        <v>82</v>
      </c>
      <c r="K17" s="51" t="s">
        <v>83</v>
      </c>
      <c r="L17" s="51" t="s">
        <v>84</v>
      </c>
      <c r="M17" s="51" t="s">
        <v>85</v>
      </c>
      <c r="N17" s="51" t="s">
        <v>86</v>
      </c>
      <c r="O17" s="51" t="s">
        <v>87</v>
      </c>
      <c r="P17" s="51" t="s">
        <v>88</v>
      </c>
      <c r="Q17" s="51" t="s">
        <v>89</v>
      </c>
      <c r="R17" s="51" t="s">
        <v>90</v>
      </c>
      <c r="S17" s="806"/>
      <c r="T17" s="696"/>
    </row>
    <row r="18" spans="1:66" ht="57">
      <c r="A18" s="717" t="s">
        <v>661</v>
      </c>
      <c r="B18" s="717" t="s">
        <v>662</v>
      </c>
      <c r="C18" s="260" t="s">
        <v>663</v>
      </c>
      <c r="D18" s="768" t="s">
        <v>78</v>
      </c>
      <c r="E18" s="55">
        <v>2</v>
      </c>
      <c r="F18" s="34" t="s">
        <v>664</v>
      </c>
      <c r="G18" s="261"/>
      <c r="H18" s="55"/>
      <c r="I18" s="55"/>
      <c r="J18" s="261"/>
      <c r="K18" s="55"/>
      <c r="L18" s="55"/>
      <c r="M18" s="55">
        <v>1</v>
      </c>
      <c r="N18" s="261"/>
      <c r="O18" s="55"/>
      <c r="P18" s="55"/>
      <c r="Q18" s="55">
        <v>1</v>
      </c>
      <c r="R18" s="55"/>
      <c r="S18" s="762">
        <f>'7- Presupuesto SGI'!U17+'7- Presupuesto SGI'!U18+'7- Presupuesto SGI'!U19</f>
        <v>1782956.25</v>
      </c>
      <c r="T18" s="768" t="s">
        <v>665</v>
      </c>
    </row>
    <row r="19" spans="1:66" ht="42.75">
      <c r="A19" s="717"/>
      <c r="B19" s="717"/>
      <c r="C19" s="260" t="s">
        <v>666</v>
      </c>
      <c r="D19" s="768"/>
      <c r="E19" s="55">
        <v>1</v>
      </c>
      <c r="F19" s="34" t="s">
        <v>667</v>
      </c>
      <c r="G19" s="55"/>
      <c r="H19" s="55">
        <v>1</v>
      </c>
      <c r="I19" s="55"/>
      <c r="J19" s="55"/>
      <c r="K19" s="55"/>
      <c r="L19" s="55"/>
      <c r="M19" s="55"/>
      <c r="N19" s="55"/>
      <c r="O19" s="55"/>
      <c r="P19" s="55"/>
      <c r="Q19" s="55"/>
      <c r="R19" s="55"/>
      <c r="S19" s="763"/>
      <c r="T19" s="768"/>
    </row>
    <row r="20" spans="1:66" ht="71.25">
      <c r="A20" s="717"/>
      <c r="B20" s="34" t="s">
        <v>668</v>
      </c>
      <c r="C20" s="34" t="s">
        <v>669</v>
      </c>
      <c r="D20" s="55" t="s">
        <v>170</v>
      </c>
      <c r="E20" s="138">
        <v>1</v>
      </c>
      <c r="F20" s="34" t="s">
        <v>670</v>
      </c>
      <c r="G20" s="55"/>
      <c r="H20" s="55"/>
      <c r="I20" s="55"/>
      <c r="J20" s="55"/>
      <c r="K20" s="55"/>
      <c r="L20" s="138">
        <v>0.5</v>
      </c>
      <c r="M20" s="55"/>
      <c r="N20" s="55"/>
      <c r="O20" s="55"/>
      <c r="P20" s="55"/>
      <c r="Q20" s="138"/>
      <c r="R20" s="138">
        <v>0.5</v>
      </c>
      <c r="S20" s="764"/>
      <c r="T20" s="768"/>
    </row>
    <row r="21" spans="1:66" ht="42.75">
      <c r="A21" s="57" t="s">
        <v>671</v>
      </c>
      <c r="B21" s="57" t="s">
        <v>672</v>
      </c>
      <c r="C21" s="57" t="s">
        <v>673</v>
      </c>
      <c r="D21" s="59" t="s">
        <v>78</v>
      </c>
      <c r="E21" s="59">
        <v>2</v>
      </c>
      <c r="F21" s="57" t="s">
        <v>674</v>
      </c>
      <c r="G21" s="59"/>
      <c r="H21" s="59"/>
      <c r="I21" s="59"/>
      <c r="J21" s="59">
        <v>1</v>
      </c>
      <c r="K21" s="59"/>
      <c r="L21" s="59"/>
      <c r="M21" s="262"/>
      <c r="N21" s="59"/>
      <c r="O21" s="59"/>
      <c r="P21" s="59"/>
      <c r="Q21" s="59">
        <v>1</v>
      </c>
      <c r="R21" s="59"/>
      <c r="S21" s="263">
        <v>0</v>
      </c>
      <c r="T21" s="59" t="s">
        <v>675</v>
      </c>
    </row>
    <row r="22" spans="1:66" ht="57">
      <c r="A22" s="34" t="s">
        <v>676</v>
      </c>
      <c r="B22" s="34" t="s">
        <v>677</v>
      </c>
      <c r="C22" s="34" t="s">
        <v>678</v>
      </c>
      <c r="D22" s="55" t="s">
        <v>78</v>
      </c>
      <c r="E22" s="55">
        <v>2</v>
      </c>
      <c r="F22" s="260" t="s">
        <v>679</v>
      </c>
      <c r="G22" s="55"/>
      <c r="H22" s="55"/>
      <c r="I22" s="55"/>
      <c r="J22" s="55"/>
      <c r="K22" s="55"/>
      <c r="L22" s="55">
        <v>1</v>
      </c>
      <c r="M22" s="55"/>
      <c r="N22" s="55"/>
      <c r="O22" s="55"/>
      <c r="P22" s="55"/>
      <c r="Q22" s="55"/>
      <c r="R22" s="55">
        <v>1</v>
      </c>
      <c r="S22" s="264">
        <v>0</v>
      </c>
      <c r="T22" s="55" t="s">
        <v>675</v>
      </c>
    </row>
    <row r="23" spans="1:66" ht="28.5">
      <c r="A23" s="802" t="s">
        <v>680</v>
      </c>
      <c r="B23" s="57" t="s">
        <v>681</v>
      </c>
      <c r="C23" s="265" t="s">
        <v>682</v>
      </c>
      <c r="D23" s="266" t="s">
        <v>78</v>
      </c>
      <c r="E23" s="266">
        <v>2</v>
      </c>
      <c r="F23" s="57" t="s">
        <v>683</v>
      </c>
      <c r="G23" s="266" t="s">
        <v>684</v>
      </c>
      <c r="H23" s="266" t="s">
        <v>684</v>
      </c>
      <c r="I23" s="266" t="s">
        <v>684</v>
      </c>
      <c r="J23" s="266" t="s">
        <v>684</v>
      </c>
      <c r="K23" s="266" t="s">
        <v>684</v>
      </c>
      <c r="L23" s="267"/>
      <c r="M23" s="266">
        <v>1</v>
      </c>
      <c r="N23" s="266" t="s">
        <v>684</v>
      </c>
      <c r="O23" s="266" t="s">
        <v>684</v>
      </c>
      <c r="P23" s="266" t="s">
        <v>684</v>
      </c>
      <c r="Q23" s="266" t="s">
        <v>684</v>
      </c>
      <c r="R23" s="266">
        <v>1</v>
      </c>
      <c r="S23" s="804">
        <v>0</v>
      </c>
      <c r="T23" s="268" t="s">
        <v>685</v>
      </c>
    </row>
    <row r="24" spans="1:66" ht="28.5">
      <c r="A24" s="803"/>
      <c r="B24" s="57" t="s">
        <v>686</v>
      </c>
      <c r="C24" s="269" t="s">
        <v>687</v>
      </c>
      <c r="D24" s="270" t="s">
        <v>78</v>
      </c>
      <c r="E24" s="270">
        <v>2</v>
      </c>
      <c r="F24" s="219" t="s">
        <v>688</v>
      </c>
      <c r="G24" s="270" t="s">
        <v>684</v>
      </c>
      <c r="H24" s="270" t="s">
        <v>684</v>
      </c>
      <c r="I24" s="270" t="s">
        <v>684</v>
      </c>
      <c r="J24" s="270" t="s">
        <v>684</v>
      </c>
      <c r="K24" s="270" t="s">
        <v>684</v>
      </c>
      <c r="L24" s="270">
        <v>1</v>
      </c>
      <c r="M24" s="270" t="s">
        <v>684</v>
      </c>
      <c r="N24" s="270" t="s">
        <v>684</v>
      </c>
      <c r="O24" s="270" t="s">
        <v>684</v>
      </c>
      <c r="P24" s="270" t="s">
        <v>684</v>
      </c>
      <c r="Q24" s="270" t="s">
        <v>684</v>
      </c>
      <c r="R24" s="270">
        <v>1</v>
      </c>
      <c r="S24" s="805"/>
      <c r="T24" s="268" t="s">
        <v>689</v>
      </c>
    </row>
    <row r="25" spans="1:66" ht="42.75">
      <c r="A25" s="271" t="s">
        <v>690</v>
      </c>
      <c r="B25" s="34" t="s">
        <v>691</v>
      </c>
      <c r="C25" s="272" t="s">
        <v>692</v>
      </c>
      <c r="D25" s="273" t="s">
        <v>170</v>
      </c>
      <c r="E25" s="274">
        <v>1</v>
      </c>
      <c r="F25" s="34" t="s">
        <v>693</v>
      </c>
      <c r="G25" s="273" t="s">
        <v>684</v>
      </c>
      <c r="H25" s="273" t="s">
        <v>684</v>
      </c>
      <c r="I25" s="274">
        <v>1</v>
      </c>
      <c r="J25" s="273" t="s">
        <v>684</v>
      </c>
      <c r="K25" s="273" t="s">
        <v>684</v>
      </c>
      <c r="L25" s="275">
        <v>1</v>
      </c>
      <c r="M25" s="273" t="s">
        <v>684</v>
      </c>
      <c r="N25" s="273" t="s">
        <v>684</v>
      </c>
      <c r="O25" s="274">
        <v>1</v>
      </c>
      <c r="P25" s="273" t="s">
        <v>684</v>
      </c>
      <c r="Q25" s="273" t="s">
        <v>684</v>
      </c>
      <c r="R25" s="274">
        <v>1</v>
      </c>
      <c r="S25" s="276">
        <v>0</v>
      </c>
      <c r="T25" s="277" t="s">
        <v>694</v>
      </c>
    </row>
    <row r="26" spans="1:66" ht="28.5">
      <c r="A26" s="278" t="s">
        <v>695</v>
      </c>
      <c r="B26" s="278" t="s">
        <v>696</v>
      </c>
      <c r="C26" s="278" t="s">
        <v>697</v>
      </c>
      <c r="D26" s="279" t="s">
        <v>78</v>
      </c>
      <c r="E26" s="279">
        <v>3</v>
      </c>
      <c r="F26" s="278" t="s">
        <v>698</v>
      </c>
      <c r="G26" s="279"/>
      <c r="H26" s="279"/>
      <c r="I26" s="279"/>
      <c r="J26" s="279">
        <v>1</v>
      </c>
      <c r="K26" s="279"/>
      <c r="L26" s="280"/>
      <c r="M26" s="280"/>
      <c r="N26" s="280">
        <v>1</v>
      </c>
      <c r="O26" s="59"/>
      <c r="P26" s="279"/>
      <c r="Q26" s="279"/>
      <c r="R26" s="279">
        <v>1</v>
      </c>
      <c r="S26" s="281">
        <v>0</v>
      </c>
      <c r="T26" s="59" t="s">
        <v>699</v>
      </c>
    </row>
    <row r="27" spans="1:66" s="64" customFormat="1" ht="42.75">
      <c r="A27" s="282" t="s">
        <v>700</v>
      </c>
      <c r="B27" s="282" t="s">
        <v>701</v>
      </c>
      <c r="C27" s="282" t="s">
        <v>702</v>
      </c>
      <c r="D27" s="283" t="s">
        <v>170</v>
      </c>
      <c r="E27" s="284">
        <v>1</v>
      </c>
      <c r="F27" s="34" t="s">
        <v>703</v>
      </c>
      <c r="G27" s="285"/>
      <c r="H27" s="286"/>
      <c r="I27" s="286"/>
      <c r="J27" s="286"/>
      <c r="K27" s="286"/>
      <c r="L27" s="286"/>
      <c r="M27" s="286"/>
      <c r="N27" s="286"/>
      <c r="O27" s="287">
        <v>1</v>
      </c>
      <c r="P27" s="286"/>
      <c r="Q27" s="286"/>
      <c r="R27" s="286"/>
      <c r="S27" s="288">
        <v>0</v>
      </c>
      <c r="T27" s="277" t="s">
        <v>699</v>
      </c>
    </row>
    <row r="28" spans="1:66" s="292" customFormat="1" ht="42.75">
      <c r="A28" s="278" t="s">
        <v>704</v>
      </c>
      <c r="B28" s="278" t="s">
        <v>705</v>
      </c>
      <c r="C28" s="278" t="s">
        <v>706</v>
      </c>
      <c r="D28" s="280" t="s">
        <v>78</v>
      </c>
      <c r="E28" s="280">
        <v>4</v>
      </c>
      <c r="F28" s="278" t="s">
        <v>707</v>
      </c>
      <c r="G28" s="289"/>
      <c r="H28" s="289"/>
      <c r="I28" s="280"/>
      <c r="J28" s="280">
        <v>1</v>
      </c>
      <c r="K28" s="280"/>
      <c r="L28" s="280"/>
      <c r="M28" s="280">
        <v>1</v>
      </c>
      <c r="N28" s="280"/>
      <c r="O28" s="280"/>
      <c r="P28" s="280">
        <v>1</v>
      </c>
      <c r="Q28" s="280"/>
      <c r="R28" s="280">
        <v>1</v>
      </c>
      <c r="S28" s="290">
        <v>0</v>
      </c>
      <c r="T28" s="280" t="s">
        <v>708</v>
      </c>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1"/>
      <c r="BN28" s="291"/>
    </row>
    <row r="29" spans="1:66" s="292" customFormat="1" ht="28.5">
      <c r="A29" s="282" t="s">
        <v>709</v>
      </c>
      <c r="B29" s="282" t="s">
        <v>710</v>
      </c>
      <c r="C29" s="282" t="s">
        <v>711</v>
      </c>
      <c r="D29" s="283" t="s">
        <v>170</v>
      </c>
      <c r="E29" s="283">
        <v>1</v>
      </c>
      <c r="F29" s="282" t="s">
        <v>712</v>
      </c>
      <c r="G29" s="283"/>
      <c r="H29" s="283"/>
      <c r="I29" s="283"/>
      <c r="J29" s="283"/>
      <c r="K29" s="283"/>
      <c r="L29" s="283"/>
      <c r="M29" s="293">
        <v>1</v>
      </c>
      <c r="N29" s="283"/>
      <c r="O29" s="283"/>
      <c r="P29" s="283"/>
      <c r="Q29" s="283"/>
      <c r="R29" s="283"/>
      <c r="S29" s="294">
        <v>0</v>
      </c>
      <c r="T29" s="277" t="s">
        <v>713</v>
      </c>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291"/>
      <c r="BD29" s="291"/>
      <c r="BE29" s="291"/>
      <c r="BF29" s="291"/>
      <c r="BG29" s="291"/>
      <c r="BH29" s="291"/>
      <c r="BI29" s="291"/>
      <c r="BJ29" s="291"/>
      <c r="BK29" s="291"/>
      <c r="BL29" s="291"/>
      <c r="BM29" s="291"/>
      <c r="BN29" s="291"/>
    </row>
    <row r="30" spans="1:66" s="292" customFormat="1" ht="28.5">
      <c r="A30" s="278" t="s">
        <v>714</v>
      </c>
      <c r="B30" s="278" t="s">
        <v>715</v>
      </c>
      <c r="C30" s="278" t="s">
        <v>716</v>
      </c>
      <c r="D30" s="280" t="s">
        <v>170</v>
      </c>
      <c r="E30" s="280">
        <v>1</v>
      </c>
      <c r="F30" s="278" t="s">
        <v>717</v>
      </c>
      <c r="G30" s="280"/>
      <c r="H30" s="280"/>
      <c r="I30" s="280"/>
      <c r="J30" s="280"/>
      <c r="K30" s="280"/>
      <c r="L30" s="295">
        <v>1</v>
      </c>
      <c r="M30" s="280"/>
      <c r="N30" s="280"/>
      <c r="O30" s="280"/>
      <c r="P30" s="280"/>
      <c r="Q30" s="280"/>
      <c r="R30" s="280"/>
      <c r="S30" s="290">
        <v>0</v>
      </c>
      <c r="T30" s="280" t="s">
        <v>718</v>
      </c>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c r="BK30" s="291"/>
      <c r="BL30" s="291"/>
      <c r="BM30" s="291"/>
      <c r="BN30" s="291"/>
    </row>
    <row r="31" spans="1:66" ht="28.5">
      <c r="A31" s="296" t="s">
        <v>719</v>
      </c>
      <c r="B31" s="296" t="s">
        <v>720</v>
      </c>
      <c r="C31" s="296" t="s">
        <v>721</v>
      </c>
      <c r="D31" s="297" t="s">
        <v>170</v>
      </c>
      <c r="E31" s="298">
        <v>1</v>
      </c>
      <c r="F31" s="245" t="s">
        <v>722</v>
      </c>
      <c r="G31" s="293"/>
      <c r="H31" s="293"/>
      <c r="I31" s="293"/>
      <c r="J31" s="293"/>
      <c r="K31" s="293"/>
      <c r="L31" s="293"/>
      <c r="M31" s="293">
        <v>1</v>
      </c>
      <c r="N31" s="293"/>
      <c r="O31" s="293"/>
      <c r="P31" s="293"/>
      <c r="Q31" s="293"/>
      <c r="R31" s="293"/>
      <c r="S31" s="299">
        <v>0</v>
      </c>
      <c r="T31" s="300"/>
    </row>
    <row r="32" spans="1:66" ht="42.75">
      <c r="A32" s="301" t="s">
        <v>723</v>
      </c>
      <c r="B32" s="302" t="s">
        <v>724</v>
      </c>
      <c r="C32" s="302" t="s">
        <v>725</v>
      </c>
      <c r="D32" s="268" t="s">
        <v>170</v>
      </c>
      <c r="E32" s="303">
        <v>1</v>
      </c>
      <c r="F32" s="302" t="s">
        <v>726</v>
      </c>
      <c r="G32" s="268"/>
      <c r="H32" s="268"/>
      <c r="I32" s="268"/>
      <c r="J32" s="268"/>
      <c r="K32" s="268"/>
      <c r="L32" s="268"/>
      <c r="M32" s="268"/>
      <c r="N32" s="268"/>
      <c r="O32" s="268"/>
      <c r="P32" s="303">
        <v>1</v>
      </c>
      <c r="Q32" s="268"/>
      <c r="R32" s="268"/>
      <c r="S32" s="304">
        <v>0</v>
      </c>
      <c r="T32" s="268" t="s">
        <v>727</v>
      </c>
    </row>
  </sheetData>
  <mergeCells count="24">
    <mergeCell ref="A23:A24"/>
    <mergeCell ref="S23:S24"/>
    <mergeCell ref="S18:S20"/>
    <mergeCell ref="J16:L16"/>
    <mergeCell ref="M16:O16"/>
    <mergeCell ref="P16:R16"/>
    <mergeCell ref="S16:S17"/>
    <mergeCell ref="T16:T17"/>
    <mergeCell ref="A18:A20"/>
    <mergeCell ref="B18:B19"/>
    <mergeCell ref="D18:D19"/>
    <mergeCell ref="T18:T20"/>
    <mergeCell ref="A16:A17"/>
    <mergeCell ref="B16:B17"/>
    <mergeCell ref="C16:C17"/>
    <mergeCell ref="D16:E16"/>
    <mergeCell ref="F16:F17"/>
    <mergeCell ref="G16:I16"/>
    <mergeCell ref="B14:T14"/>
    <mergeCell ref="A8:T8"/>
    <mergeCell ref="A9:T9"/>
    <mergeCell ref="B11:T11"/>
    <mergeCell ref="B12:T12"/>
    <mergeCell ref="B13:T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9B672-D9AC-43F9-A6D2-C287C5560661}">
  <dimension ref="A8:V20"/>
  <sheetViews>
    <sheetView showGridLines="0" workbookViewId="0">
      <selection activeCell="A15" sqref="A15:A16"/>
    </sheetView>
  </sheetViews>
  <sheetFormatPr defaultColWidth="11.42578125" defaultRowHeight="14.25"/>
  <cols>
    <col min="1" max="1" width="44.140625" style="27" bestFit="1" customWidth="1"/>
    <col min="2" max="2" width="49.140625" style="27" customWidth="1"/>
    <col min="3" max="4" width="18.7109375" style="27" customWidth="1"/>
    <col min="5" max="5" width="11.7109375" style="47" bestFit="1" customWidth="1"/>
    <col min="6" max="6" width="17.42578125" style="27" bestFit="1" customWidth="1"/>
    <col min="7" max="7" width="10.85546875" style="27" customWidth="1"/>
    <col min="8" max="8" width="17.85546875" style="78" bestFit="1" customWidth="1"/>
    <col min="9" max="9" width="7.28515625" style="27" bestFit="1" customWidth="1"/>
    <col min="10" max="10" width="9.85546875" style="27" customWidth="1"/>
    <col min="11" max="11" width="14.7109375" style="27" bestFit="1" customWidth="1"/>
    <col min="12" max="14" width="7.28515625" style="27" bestFit="1" customWidth="1"/>
    <col min="15" max="15" width="14.7109375" style="27" bestFit="1" customWidth="1"/>
    <col min="16" max="16" width="9.5703125" style="27" customWidth="1"/>
    <col min="17" max="17" width="15.7109375" style="27" customWidth="1"/>
    <col min="18" max="19" width="14.7109375" style="27" bestFit="1" customWidth="1"/>
    <col min="20" max="20" width="12.7109375" style="27" customWidth="1"/>
    <col min="21" max="21" width="18.85546875" style="27" customWidth="1"/>
    <col min="22" max="22" width="22.85546875" style="53" customWidth="1"/>
    <col min="23" max="23" width="9.42578125" style="27" customWidth="1"/>
    <col min="24" max="24" width="5" style="27" customWidth="1"/>
    <col min="25" max="25" width="3.42578125" style="27" customWidth="1"/>
    <col min="26" max="26" width="8.7109375" style="27" customWidth="1"/>
    <col min="27" max="16384" width="11.42578125" style="27"/>
  </cols>
  <sheetData>
    <row r="8" spans="1:22" ht="20.25">
      <c r="A8" s="698" t="s">
        <v>60</v>
      </c>
      <c r="B8" s="698"/>
      <c r="C8" s="698"/>
      <c r="D8" s="698"/>
      <c r="E8" s="698"/>
      <c r="F8" s="698"/>
      <c r="G8" s="698"/>
      <c r="H8" s="698"/>
      <c r="I8" s="698"/>
      <c r="J8" s="698"/>
      <c r="K8" s="698"/>
      <c r="L8" s="698"/>
      <c r="M8" s="698"/>
      <c r="N8" s="698"/>
      <c r="O8" s="698"/>
      <c r="P8" s="698"/>
      <c r="Q8" s="698"/>
      <c r="R8" s="698"/>
      <c r="S8" s="698"/>
      <c r="T8" s="698"/>
      <c r="U8" s="698"/>
      <c r="V8" s="698"/>
    </row>
    <row r="9" spans="1:22" ht="20.25">
      <c r="A9" s="698" t="s">
        <v>61</v>
      </c>
      <c r="B9" s="698"/>
      <c r="C9" s="698"/>
      <c r="D9" s="698"/>
      <c r="E9" s="698"/>
      <c r="F9" s="698"/>
      <c r="G9" s="698"/>
      <c r="H9" s="698"/>
      <c r="I9" s="698"/>
      <c r="J9" s="698"/>
      <c r="K9" s="698"/>
      <c r="L9" s="698"/>
      <c r="M9" s="698"/>
      <c r="N9" s="698"/>
      <c r="O9" s="698"/>
      <c r="P9" s="698"/>
      <c r="Q9" s="698"/>
      <c r="R9" s="698"/>
      <c r="S9" s="698"/>
      <c r="T9" s="698"/>
      <c r="U9" s="698"/>
      <c r="V9" s="698"/>
    </row>
    <row r="10" spans="1:22" ht="20.25">
      <c r="A10" s="698" t="s">
        <v>137</v>
      </c>
      <c r="B10" s="698"/>
      <c r="C10" s="698"/>
      <c r="D10" s="698"/>
      <c r="E10" s="698"/>
      <c r="F10" s="698"/>
      <c r="G10" s="698"/>
      <c r="H10" s="698"/>
      <c r="I10" s="698"/>
      <c r="J10" s="698"/>
      <c r="K10" s="698"/>
      <c r="L10" s="698"/>
      <c r="M10" s="698"/>
      <c r="N10" s="698"/>
      <c r="O10" s="698"/>
      <c r="P10" s="698"/>
      <c r="Q10" s="698"/>
      <c r="R10" s="698"/>
      <c r="S10" s="698"/>
      <c r="T10" s="698"/>
      <c r="U10" s="698"/>
      <c r="V10" s="698"/>
    </row>
    <row r="11" spans="1:22" ht="20.25">
      <c r="A11" s="259" t="s">
        <v>62</v>
      </c>
      <c r="B11" s="699" t="s">
        <v>657</v>
      </c>
      <c r="C11" s="699"/>
      <c r="D11" s="699"/>
      <c r="E11" s="699"/>
      <c r="F11" s="699"/>
      <c r="G11" s="699"/>
      <c r="H11" s="699"/>
      <c r="I11" s="699"/>
      <c r="J11" s="699"/>
      <c r="K11" s="699"/>
      <c r="L11" s="699"/>
      <c r="M11" s="699"/>
      <c r="N11" s="699"/>
      <c r="O11" s="699"/>
      <c r="P11" s="699"/>
      <c r="Q11" s="699"/>
      <c r="R11" s="699"/>
      <c r="S11" s="699"/>
      <c r="T11" s="699"/>
      <c r="U11" s="699"/>
      <c r="V11" s="699"/>
    </row>
    <row r="12" spans="1:22" ht="20.25">
      <c r="A12" s="259" t="s">
        <v>63</v>
      </c>
      <c r="B12" s="699" t="s">
        <v>728</v>
      </c>
      <c r="C12" s="699"/>
      <c r="D12" s="699"/>
      <c r="E12" s="699"/>
      <c r="F12" s="699"/>
      <c r="G12" s="699"/>
      <c r="H12" s="699"/>
      <c r="I12" s="699"/>
      <c r="J12" s="699"/>
      <c r="K12" s="699"/>
      <c r="L12" s="699"/>
      <c r="M12" s="699"/>
      <c r="N12" s="699"/>
      <c r="O12" s="699"/>
      <c r="P12" s="699"/>
      <c r="Q12" s="699"/>
      <c r="R12" s="699"/>
      <c r="S12" s="699"/>
      <c r="T12" s="699"/>
      <c r="U12" s="699"/>
      <c r="V12" s="699"/>
    </row>
    <row r="13" spans="1:22" ht="20.25">
      <c r="A13" s="259" t="s">
        <v>65</v>
      </c>
      <c r="B13" s="305" t="s">
        <v>659</v>
      </c>
      <c r="C13" s="306"/>
      <c r="D13" s="306"/>
      <c r="E13" s="307"/>
      <c r="F13" s="306"/>
      <c r="G13" s="306"/>
      <c r="H13" s="308"/>
      <c r="I13" s="306"/>
      <c r="J13" s="306"/>
      <c r="K13" s="306"/>
      <c r="L13" s="306"/>
      <c r="M13" s="306"/>
      <c r="N13" s="306"/>
      <c r="O13" s="306"/>
      <c r="P13" s="306"/>
      <c r="Q13" s="306"/>
      <c r="R13" s="306"/>
      <c r="S13" s="306"/>
      <c r="T13" s="306"/>
      <c r="U13" s="306"/>
      <c r="V13" s="309"/>
    </row>
    <row r="15" spans="1:22" ht="15">
      <c r="A15" s="708" t="s">
        <v>66</v>
      </c>
      <c r="B15" s="696" t="s">
        <v>70</v>
      </c>
      <c r="C15" s="714" t="s">
        <v>23</v>
      </c>
      <c r="D15" s="714" t="s">
        <v>139</v>
      </c>
      <c r="E15" s="714" t="s">
        <v>140</v>
      </c>
      <c r="F15" s="714" t="s">
        <v>141</v>
      </c>
      <c r="G15" s="714" t="s">
        <v>101</v>
      </c>
      <c r="H15" s="714" t="s">
        <v>142</v>
      </c>
      <c r="I15" s="697" t="s">
        <v>71</v>
      </c>
      <c r="J15" s="697"/>
      <c r="K15" s="697"/>
      <c r="L15" s="697" t="s">
        <v>72</v>
      </c>
      <c r="M15" s="697"/>
      <c r="N15" s="697"/>
      <c r="O15" s="697" t="s">
        <v>73</v>
      </c>
      <c r="P15" s="697"/>
      <c r="Q15" s="697"/>
      <c r="R15" s="697" t="s">
        <v>74</v>
      </c>
      <c r="S15" s="697"/>
      <c r="T15" s="697"/>
      <c r="U15" s="696" t="s">
        <v>75</v>
      </c>
      <c r="V15" s="696" t="s">
        <v>185</v>
      </c>
    </row>
    <row r="16" spans="1:22" s="53" customFormat="1" ht="15">
      <c r="A16" s="709"/>
      <c r="B16" s="696"/>
      <c r="C16" s="715"/>
      <c r="D16" s="715"/>
      <c r="E16" s="715"/>
      <c r="F16" s="715"/>
      <c r="G16" s="715"/>
      <c r="H16" s="715"/>
      <c r="I16" s="52" t="s">
        <v>79</v>
      </c>
      <c r="J16" s="52" t="s">
        <v>80</v>
      </c>
      <c r="K16" s="52" t="s">
        <v>81</v>
      </c>
      <c r="L16" s="52" t="s">
        <v>82</v>
      </c>
      <c r="M16" s="52" t="s">
        <v>83</v>
      </c>
      <c r="N16" s="52" t="s">
        <v>84</v>
      </c>
      <c r="O16" s="52" t="s">
        <v>85</v>
      </c>
      <c r="P16" s="52" t="s">
        <v>86</v>
      </c>
      <c r="Q16" s="52" t="s">
        <v>87</v>
      </c>
      <c r="R16" s="52" t="s">
        <v>88</v>
      </c>
      <c r="S16" s="52" t="s">
        <v>89</v>
      </c>
      <c r="T16" s="52" t="s">
        <v>90</v>
      </c>
      <c r="U16" s="696"/>
      <c r="V16" s="696"/>
    </row>
    <row r="17" spans="1:22" ht="57">
      <c r="A17" s="717" t="s">
        <v>661</v>
      </c>
      <c r="B17" s="260" t="s">
        <v>664</v>
      </c>
      <c r="C17" s="765" t="s">
        <v>298</v>
      </c>
      <c r="D17" s="55" t="s">
        <v>729</v>
      </c>
      <c r="E17" s="55" t="s">
        <v>188</v>
      </c>
      <c r="F17" s="36" t="s">
        <v>730</v>
      </c>
      <c r="G17" s="36" t="s">
        <v>731</v>
      </c>
      <c r="H17" s="74">
        <v>50000</v>
      </c>
      <c r="I17" s="62">
        <v>0</v>
      </c>
      <c r="J17" s="62">
        <v>0</v>
      </c>
      <c r="K17" s="35">
        <f>H17</f>
        <v>50000</v>
      </c>
      <c r="L17" s="62">
        <v>0</v>
      </c>
      <c r="M17" s="62">
        <v>0</v>
      </c>
      <c r="N17" s="62">
        <v>0</v>
      </c>
      <c r="O17" s="35">
        <f>H17</f>
        <v>50000</v>
      </c>
      <c r="P17" s="62">
        <v>0</v>
      </c>
      <c r="Q17" s="62">
        <v>0</v>
      </c>
      <c r="R17" s="35">
        <f>H17</f>
        <v>50000</v>
      </c>
      <c r="S17" s="62">
        <v>0</v>
      </c>
      <c r="T17" s="62">
        <v>0</v>
      </c>
      <c r="U17" s="35">
        <f>SUM(I17:T17)</f>
        <v>150000</v>
      </c>
      <c r="V17" s="135"/>
    </row>
    <row r="18" spans="1:22" ht="28.5">
      <c r="A18" s="717"/>
      <c r="B18" s="807" t="s">
        <v>667</v>
      </c>
      <c r="C18" s="766"/>
      <c r="D18" s="55" t="s">
        <v>732</v>
      </c>
      <c r="E18" s="55" t="s">
        <v>198</v>
      </c>
      <c r="F18" s="36" t="s">
        <v>435</v>
      </c>
      <c r="G18" s="36">
        <v>1</v>
      </c>
      <c r="H18" s="35">
        <v>1602956.25</v>
      </c>
      <c r="I18" s="62">
        <v>0</v>
      </c>
      <c r="J18" s="62">
        <v>0</v>
      </c>
      <c r="K18" s="62">
        <v>0</v>
      </c>
      <c r="L18" s="62">
        <v>0</v>
      </c>
      <c r="M18" s="62">
        <v>0</v>
      </c>
      <c r="N18" s="62">
        <v>0</v>
      </c>
      <c r="O18" s="62">
        <v>0</v>
      </c>
      <c r="P18" s="62">
        <v>0</v>
      </c>
      <c r="Q18" s="62">
        <v>0</v>
      </c>
      <c r="R18" s="62">
        <v>0</v>
      </c>
      <c r="S18" s="35"/>
      <c r="T18" s="62">
        <v>0</v>
      </c>
      <c r="U18" s="74">
        <v>1602956.25</v>
      </c>
      <c r="V18" s="55" t="s">
        <v>733</v>
      </c>
    </row>
    <row r="19" spans="1:22">
      <c r="A19" s="717"/>
      <c r="B19" s="808"/>
      <c r="C19" s="766"/>
      <c r="D19" s="258" t="s">
        <v>734</v>
      </c>
      <c r="E19" s="258" t="s">
        <v>146</v>
      </c>
      <c r="F19" s="310" t="s">
        <v>730</v>
      </c>
      <c r="G19" s="310">
        <v>10</v>
      </c>
      <c r="H19" s="311">
        <v>30000</v>
      </c>
      <c r="I19" s="312">
        <v>0</v>
      </c>
      <c r="J19" s="312">
        <v>0</v>
      </c>
      <c r="K19" s="312">
        <v>0</v>
      </c>
      <c r="L19" s="312">
        <v>0</v>
      </c>
      <c r="M19" s="312">
        <v>0</v>
      </c>
      <c r="N19" s="312">
        <v>0</v>
      </c>
      <c r="O19" s="312">
        <v>0</v>
      </c>
      <c r="P19" s="312">
        <v>0</v>
      </c>
      <c r="Q19" s="312">
        <v>0</v>
      </c>
      <c r="R19" s="312">
        <v>0</v>
      </c>
      <c r="S19" s="311">
        <f>H19</f>
        <v>30000</v>
      </c>
      <c r="T19" s="311"/>
      <c r="U19" s="311">
        <f>SUM(I19:T19)</f>
        <v>30000</v>
      </c>
      <c r="V19" s="135"/>
    </row>
    <row r="20" spans="1:22" ht="15">
      <c r="A20" s="798" t="s">
        <v>735</v>
      </c>
      <c r="B20" s="799"/>
      <c r="C20" s="799"/>
      <c r="D20" s="800"/>
      <c r="E20" s="313"/>
      <c r="F20" s="314"/>
      <c r="G20" s="314"/>
      <c r="H20" s="315"/>
      <c r="I20" s="314"/>
      <c r="J20" s="314"/>
      <c r="K20" s="44">
        <f>SUM(K17:K19)</f>
        <v>50000</v>
      </c>
      <c r="L20" s="45"/>
      <c r="M20" s="45"/>
      <c r="N20" s="45"/>
      <c r="O20" s="44">
        <f>SUM(O17:O19)</f>
        <v>50000</v>
      </c>
      <c r="P20" s="45"/>
      <c r="Q20" s="45"/>
      <c r="R20" s="44">
        <f>SUM(R17:R19)</f>
        <v>50000</v>
      </c>
      <c r="S20" s="44">
        <f>SUM(S19)</f>
        <v>30000</v>
      </c>
      <c r="T20" s="314"/>
      <c r="U20" s="316">
        <f>+SUM(U17:U19)</f>
        <v>1782956.25</v>
      </c>
      <c r="V20" s="317"/>
    </row>
  </sheetData>
  <mergeCells count="23">
    <mergeCell ref="A20:D20"/>
    <mergeCell ref="R15:T15"/>
    <mergeCell ref="U15:U16"/>
    <mergeCell ref="V15:V16"/>
    <mergeCell ref="A17:A19"/>
    <mergeCell ref="C17:C19"/>
    <mergeCell ref="B18:B19"/>
    <mergeCell ref="F15:F16"/>
    <mergeCell ref="G15:G16"/>
    <mergeCell ref="H15:H16"/>
    <mergeCell ref="I15:K15"/>
    <mergeCell ref="L15:N15"/>
    <mergeCell ref="O15:Q15"/>
    <mergeCell ref="A15:A16"/>
    <mergeCell ref="B15:B16"/>
    <mergeCell ref="C15:C16"/>
    <mergeCell ref="D15:D16"/>
    <mergeCell ref="E15:E16"/>
    <mergeCell ref="A8:V8"/>
    <mergeCell ref="A9:V9"/>
    <mergeCell ref="A10:V10"/>
    <mergeCell ref="B11:V11"/>
    <mergeCell ref="B12:V1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1FED-BFD5-4C17-A3FE-B90C9120FC76}">
  <dimension ref="A3:AS51"/>
  <sheetViews>
    <sheetView showGridLines="0" topLeftCell="A27" workbookViewId="0">
      <selection activeCell="A13" sqref="A13:A14"/>
    </sheetView>
  </sheetViews>
  <sheetFormatPr defaultColWidth="11.42578125" defaultRowHeight="15"/>
  <cols>
    <col min="1" max="1" width="56.28515625" bestFit="1" customWidth="1"/>
    <col min="2" max="2" width="35.42578125" customWidth="1"/>
    <col min="3" max="3" width="24.5703125" customWidth="1"/>
    <col min="4" max="4" width="17.5703125" bestFit="1" customWidth="1"/>
    <col min="5" max="5" width="13.7109375" style="405" customWidth="1"/>
    <col min="6" max="6" width="44.42578125" bestFit="1" customWidth="1"/>
    <col min="7" max="7" width="11" bestFit="1" customWidth="1"/>
    <col min="13" max="14" width="11.85546875" bestFit="1" customWidth="1"/>
    <col min="15" max="15" width="15.140625" bestFit="1" customWidth="1"/>
    <col min="16" max="16" width="12.85546875" bestFit="1" customWidth="1"/>
    <col min="17" max="17" width="15.7109375" customWidth="1"/>
    <col min="18" max="18" width="18.42578125" customWidth="1"/>
    <col min="19" max="19" width="25" customWidth="1"/>
    <col min="20" max="20" width="22.140625" customWidth="1"/>
    <col min="22" max="24" width="0" hidden="1" customWidth="1"/>
    <col min="25" max="25" width="12.5703125" hidden="1" customWidth="1"/>
    <col min="26" max="26" width="16.7109375" hidden="1" customWidth="1"/>
    <col min="27" max="27" width="8.140625" hidden="1" customWidth="1"/>
    <col min="28" max="29" width="0" hidden="1" customWidth="1"/>
    <col min="30" max="30" width="12.5703125" hidden="1" customWidth="1"/>
    <col min="31" max="31" width="16.7109375" hidden="1" customWidth="1"/>
    <col min="32" max="34" width="0" hidden="1" customWidth="1"/>
    <col min="35" max="35" width="12.5703125" hidden="1" customWidth="1"/>
    <col min="36" max="36" width="16.7109375" hidden="1" customWidth="1"/>
    <col min="37" max="39" width="0" hidden="1" customWidth="1"/>
    <col min="40" max="40" width="12.5703125" hidden="1" customWidth="1"/>
    <col min="41" max="45" width="16.7109375" hidden="1" customWidth="1"/>
    <col min="46" max="166" width="0" hidden="1" customWidth="1"/>
  </cols>
  <sheetData>
    <row r="3" spans="1:41">
      <c r="O3" s="430"/>
    </row>
    <row r="4" spans="1:41">
      <c r="O4" s="430"/>
    </row>
    <row r="5" spans="1:41" ht="28.5" customHeight="1">
      <c r="A5" s="658"/>
      <c r="B5" s="658"/>
      <c r="C5" s="658"/>
      <c r="D5" s="658"/>
      <c r="E5" s="658"/>
      <c r="F5" s="658"/>
      <c r="G5" s="658"/>
      <c r="H5" s="658"/>
      <c r="I5" s="658"/>
      <c r="J5" s="658"/>
      <c r="K5" s="658"/>
      <c r="L5" s="658"/>
      <c r="M5" s="658"/>
      <c r="N5" s="658"/>
      <c r="O5" s="658"/>
      <c r="P5" s="658"/>
      <c r="Q5" s="658"/>
      <c r="R5" s="658"/>
      <c r="S5" s="658"/>
      <c r="T5" s="658"/>
    </row>
    <row r="6" spans="1:41" ht="20.25">
      <c r="A6" s="698" t="s">
        <v>60</v>
      </c>
      <c r="B6" s="698"/>
      <c r="C6" s="698"/>
      <c r="D6" s="698"/>
      <c r="E6" s="698"/>
      <c r="F6" s="698"/>
      <c r="G6" s="698"/>
      <c r="H6" s="698"/>
      <c r="I6" s="698"/>
      <c r="J6" s="698"/>
      <c r="K6" s="698"/>
      <c r="L6" s="698"/>
      <c r="M6" s="698"/>
      <c r="N6" s="698"/>
      <c r="O6" s="698"/>
      <c r="P6" s="698"/>
      <c r="Q6" s="698"/>
      <c r="R6" s="698"/>
      <c r="S6" s="698"/>
      <c r="T6" s="698"/>
    </row>
    <row r="7" spans="1:41" ht="20.25">
      <c r="A7" s="698" t="s">
        <v>61</v>
      </c>
      <c r="B7" s="698"/>
      <c r="C7" s="698"/>
      <c r="D7" s="698"/>
      <c r="E7" s="698"/>
      <c r="F7" s="698"/>
      <c r="G7" s="698"/>
      <c r="H7" s="698"/>
      <c r="I7" s="698"/>
      <c r="J7" s="698"/>
      <c r="K7" s="698"/>
      <c r="L7" s="698"/>
      <c r="M7" s="698"/>
      <c r="N7" s="698"/>
      <c r="O7" s="698"/>
      <c r="P7" s="698"/>
      <c r="Q7" s="698"/>
      <c r="R7" s="698"/>
      <c r="S7" s="698"/>
      <c r="T7" s="698"/>
    </row>
    <row r="8" spans="1:41" ht="21">
      <c r="A8" s="404"/>
      <c r="B8" s="404"/>
      <c r="C8" s="404"/>
      <c r="D8" s="404"/>
      <c r="E8" s="404"/>
      <c r="F8" s="404"/>
      <c r="G8" s="404"/>
      <c r="H8" s="404"/>
      <c r="I8" s="404"/>
      <c r="J8" s="404"/>
      <c r="K8" s="404"/>
      <c r="L8" s="404"/>
      <c r="M8" s="404"/>
      <c r="N8" s="404"/>
      <c r="O8" s="404"/>
      <c r="P8" s="404"/>
      <c r="Q8" s="404"/>
      <c r="R8" s="404"/>
      <c r="S8" s="404"/>
      <c r="T8" s="404"/>
    </row>
    <row r="9" spans="1:41" ht="21">
      <c r="A9" s="537" t="s">
        <v>62</v>
      </c>
      <c r="B9" s="659" t="s">
        <v>737</v>
      </c>
      <c r="C9" s="659"/>
      <c r="D9" s="659"/>
      <c r="E9" s="659"/>
      <c r="F9" s="659"/>
      <c r="G9" s="659"/>
      <c r="H9" s="659"/>
      <c r="I9" s="659"/>
      <c r="J9" s="659"/>
      <c r="K9" s="659"/>
      <c r="L9" s="659"/>
      <c r="M9" s="659"/>
      <c r="N9" s="659"/>
      <c r="O9" s="659"/>
      <c r="P9" s="659"/>
      <c r="Q9" s="659"/>
      <c r="R9" s="659"/>
      <c r="S9" s="659"/>
      <c r="T9" s="659"/>
    </row>
    <row r="10" spans="1:41" ht="21">
      <c r="A10" s="537" t="s">
        <v>1245</v>
      </c>
      <c r="B10" s="659" t="s">
        <v>905</v>
      </c>
      <c r="C10" s="659"/>
      <c r="D10" s="659"/>
      <c r="E10" s="659"/>
      <c r="F10" s="659"/>
      <c r="G10" s="659"/>
      <c r="H10" s="659"/>
      <c r="I10" s="659"/>
      <c r="J10" s="659"/>
      <c r="K10" s="659"/>
      <c r="L10" s="659"/>
      <c r="M10" s="659"/>
      <c r="N10" s="659"/>
      <c r="O10" s="659"/>
      <c r="P10" s="659"/>
      <c r="Q10" s="659"/>
      <c r="R10" s="659"/>
      <c r="S10" s="659"/>
      <c r="T10" s="659"/>
    </row>
    <row r="11" spans="1:41" ht="21">
      <c r="A11" s="537" t="s">
        <v>1246</v>
      </c>
      <c r="B11" s="671" t="s">
        <v>503</v>
      </c>
      <c r="C11" s="672"/>
      <c r="D11" s="672"/>
      <c r="E11" s="672"/>
      <c r="F11" s="672"/>
      <c r="G11" s="672"/>
      <c r="H11" s="672"/>
      <c r="I11" s="672"/>
      <c r="J11" s="672"/>
      <c r="K11" s="672"/>
      <c r="L11" s="672"/>
      <c r="M11" s="672"/>
      <c r="N11" s="672"/>
      <c r="O11" s="672"/>
      <c r="P11" s="672"/>
      <c r="Q11" s="672"/>
      <c r="R11" s="672"/>
      <c r="S11" s="672"/>
      <c r="T11" s="673"/>
    </row>
    <row r="12" spans="1:41" ht="15.75" thickBot="1"/>
    <row r="13" spans="1:41" ht="17.25" customHeight="1" thickBot="1">
      <c r="A13" s="828" t="s">
        <v>66</v>
      </c>
      <c r="B13" s="830" t="s">
        <v>67</v>
      </c>
      <c r="C13" s="830" t="s">
        <v>68</v>
      </c>
      <c r="D13" s="832" t="s">
        <v>740</v>
      </c>
      <c r="E13" s="832"/>
      <c r="F13" s="830" t="s">
        <v>70</v>
      </c>
      <c r="G13" s="833" t="s">
        <v>71</v>
      </c>
      <c r="H13" s="833"/>
      <c r="I13" s="833"/>
      <c r="J13" s="833" t="s">
        <v>72</v>
      </c>
      <c r="K13" s="833"/>
      <c r="L13" s="833"/>
      <c r="M13" s="833" t="s">
        <v>73</v>
      </c>
      <c r="N13" s="833"/>
      <c r="O13" s="833"/>
      <c r="P13" s="833" t="s">
        <v>74</v>
      </c>
      <c r="Q13" s="833"/>
      <c r="R13" s="833"/>
      <c r="S13" s="830" t="s">
        <v>75</v>
      </c>
      <c r="T13" s="834" t="s">
        <v>76</v>
      </c>
      <c r="V13" s="145"/>
      <c r="W13" s="145"/>
      <c r="X13" s="145"/>
      <c r="Y13" s="145"/>
      <c r="Z13" s="145"/>
      <c r="AA13" s="145"/>
      <c r="AB13" s="145"/>
      <c r="AC13" s="145"/>
      <c r="AD13" s="145"/>
      <c r="AE13" s="145"/>
      <c r="AF13" s="145"/>
      <c r="AG13" s="145"/>
      <c r="AH13" s="145"/>
      <c r="AI13" s="145"/>
      <c r="AJ13" s="145"/>
      <c r="AK13" s="145"/>
      <c r="AL13" s="145"/>
      <c r="AM13" s="145"/>
      <c r="AN13" s="145"/>
      <c r="AO13" s="145"/>
    </row>
    <row r="14" spans="1:41" s="134" customFormat="1" ht="30.75" thickBot="1">
      <c r="A14" s="829"/>
      <c r="B14" s="831"/>
      <c r="C14" s="831"/>
      <c r="D14" s="536" t="s">
        <v>77</v>
      </c>
      <c r="E14" s="536" t="s">
        <v>78</v>
      </c>
      <c r="F14" s="831"/>
      <c r="G14" s="536" t="s">
        <v>79</v>
      </c>
      <c r="H14" s="536" t="s">
        <v>80</v>
      </c>
      <c r="I14" s="536" t="s">
        <v>81</v>
      </c>
      <c r="J14" s="536" t="s">
        <v>82</v>
      </c>
      <c r="K14" s="536" t="s">
        <v>83</v>
      </c>
      <c r="L14" s="536" t="s">
        <v>84</v>
      </c>
      <c r="M14" s="536" t="s">
        <v>85</v>
      </c>
      <c r="N14" s="536" t="s">
        <v>86</v>
      </c>
      <c r="O14" s="536" t="s">
        <v>87</v>
      </c>
      <c r="P14" s="536" t="s">
        <v>88</v>
      </c>
      <c r="Q14" s="536" t="s">
        <v>89</v>
      </c>
      <c r="R14" s="536" t="s">
        <v>90</v>
      </c>
      <c r="S14" s="831"/>
      <c r="T14" s="835"/>
      <c r="V14" s="146" t="s">
        <v>79</v>
      </c>
      <c r="W14" s="146" t="s">
        <v>80</v>
      </c>
      <c r="X14" s="146" t="s">
        <v>81</v>
      </c>
      <c r="Y14" s="146" t="s">
        <v>159</v>
      </c>
      <c r="Z14" s="146" t="s">
        <v>160</v>
      </c>
      <c r="AA14" s="146" t="s">
        <v>82</v>
      </c>
      <c r="AB14" s="146" t="s">
        <v>83</v>
      </c>
      <c r="AC14" s="146" t="s">
        <v>84</v>
      </c>
      <c r="AD14" s="146" t="s">
        <v>161</v>
      </c>
      <c r="AE14" s="146" t="s">
        <v>162</v>
      </c>
      <c r="AF14" s="146" t="s">
        <v>85</v>
      </c>
      <c r="AG14" s="146" t="s">
        <v>86</v>
      </c>
      <c r="AH14" s="146" t="s">
        <v>87</v>
      </c>
      <c r="AI14" s="146" t="s">
        <v>163</v>
      </c>
      <c r="AJ14" s="146" t="s">
        <v>164</v>
      </c>
      <c r="AK14" s="146" t="s">
        <v>88</v>
      </c>
      <c r="AL14" s="146" t="s">
        <v>89</v>
      </c>
      <c r="AM14" s="146" t="s">
        <v>90</v>
      </c>
      <c r="AN14" s="146" t="s">
        <v>165</v>
      </c>
      <c r="AO14" s="146" t="s">
        <v>166</v>
      </c>
    </row>
    <row r="15" spans="1:41" ht="45">
      <c r="A15" s="836" t="s">
        <v>741</v>
      </c>
      <c r="B15" s="431" t="s">
        <v>742</v>
      </c>
      <c r="C15" s="432" t="s">
        <v>743</v>
      </c>
      <c r="D15" s="432" t="s">
        <v>78</v>
      </c>
      <c r="E15" s="432">
        <v>1</v>
      </c>
      <c r="F15" s="431" t="s">
        <v>1256</v>
      </c>
      <c r="G15" s="432"/>
      <c r="H15" s="432"/>
      <c r="I15" s="433"/>
      <c r="J15" s="432"/>
      <c r="K15" s="432"/>
      <c r="L15" s="433"/>
      <c r="M15" s="432"/>
      <c r="N15" s="432"/>
      <c r="O15" s="433"/>
      <c r="P15" s="432"/>
      <c r="Q15" s="432"/>
      <c r="R15" s="432">
        <v>1</v>
      </c>
      <c r="S15" s="839">
        <f>'[4]Presup.odf. austeridad RRHH'!T14+'[4]Presup.odf. austeridad RRHH'!T15</f>
        <v>2300000</v>
      </c>
      <c r="T15" s="434" t="s">
        <v>744</v>
      </c>
    </row>
    <row r="16" spans="1:41" ht="45">
      <c r="A16" s="837"/>
      <c r="B16" s="435" t="s">
        <v>745</v>
      </c>
      <c r="C16" s="436" t="s">
        <v>746</v>
      </c>
      <c r="D16" s="436" t="s">
        <v>170</v>
      </c>
      <c r="E16" s="437">
        <v>0.9</v>
      </c>
      <c r="F16" s="435" t="s">
        <v>1257</v>
      </c>
      <c r="G16" s="436"/>
      <c r="H16" s="436"/>
      <c r="I16" s="437">
        <v>0.9</v>
      </c>
      <c r="J16" s="437"/>
      <c r="K16" s="437"/>
      <c r="L16" s="437">
        <v>0.9</v>
      </c>
      <c r="M16" s="437"/>
      <c r="N16" s="437"/>
      <c r="O16" s="437">
        <v>0.9</v>
      </c>
      <c r="P16" s="437"/>
      <c r="Q16" s="437"/>
      <c r="R16" s="437">
        <v>0.9</v>
      </c>
      <c r="S16" s="840"/>
      <c r="T16" s="438" t="s">
        <v>748</v>
      </c>
    </row>
    <row r="17" spans="1:20" ht="55.5" customHeight="1" thickBot="1">
      <c r="A17" s="838"/>
      <c r="B17" s="439" t="s">
        <v>1247</v>
      </c>
      <c r="C17" s="440" t="s">
        <v>749</v>
      </c>
      <c r="D17" s="440" t="s">
        <v>170</v>
      </c>
      <c r="E17" s="441">
        <v>1</v>
      </c>
      <c r="F17" s="439" t="s">
        <v>1258</v>
      </c>
      <c r="G17" s="440"/>
      <c r="H17" s="440"/>
      <c r="I17" s="441">
        <v>1</v>
      </c>
      <c r="J17" s="441"/>
      <c r="K17" s="441"/>
      <c r="L17" s="441">
        <v>1</v>
      </c>
      <c r="M17" s="441"/>
      <c r="N17" s="441"/>
      <c r="O17" s="441">
        <v>1</v>
      </c>
      <c r="P17" s="441"/>
      <c r="Q17" s="441"/>
      <c r="R17" s="441">
        <v>1</v>
      </c>
      <c r="S17" s="841"/>
      <c r="T17" s="442"/>
    </row>
    <row r="18" spans="1:20" ht="48" customHeight="1">
      <c r="A18" s="842" t="s">
        <v>1259</v>
      </c>
      <c r="B18" s="443" t="s">
        <v>750</v>
      </c>
      <c r="C18" s="843" t="s">
        <v>1248</v>
      </c>
      <c r="D18" s="843" t="s">
        <v>78</v>
      </c>
      <c r="E18" s="843">
        <v>1</v>
      </c>
      <c r="F18" s="444" t="s">
        <v>1260</v>
      </c>
      <c r="G18" s="445"/>
      <c r="H18" s="445"/>
      <c r="I18" s="445">
        <v>1</v>
      </c>
      <c r="J18" s="445"/>
      <c r="K18" s="445"/>
      <c r="L18" s="445"/>
      <c r="M18" s="445"/>
      <c r="N18" s="445"/>
      <c r="O18" s="445"/>
      <c r="P18" s="445"/>
      <c r="Q18" s="445"/>
      <c r="R18" s="445"/>
      <c r="S18" s="845">
        <f>[5]Presupuesto!T13+[5]Presupuesto!T14+[5]Presupuesto!T15</f>
        <v>2300000</v>
      </c>
      <c r="T18" s="446"/>
    </row>
    <row r="19" spans="1:20" ht="48" customHeight="1">
      <c r="A19" s="823"/>
      <c r="B19" s="447" t="s">
        <v>751</v>
      </c>
      <c r="C19" s="844"/>
      <c r="D19" s="844"/>
      <c r="E19" s="844"/>
      <c r="F19" s="449" t="s">
        <v>1261</v>
      </c>
      <c r="G19" s="450"/>
      <c r="H19" s="450"/>
      <c r="I19" s="450"/>
      <c r="J19" s="450">
        <v>1</v>
      </c>
      <c r="K19" s="450"/>
      <c r="L19" s="450"/>
      <c r="M19" s="450"/>
      <c r="N19" s="450"/>
      <c r="O19" s="450"/>
      <c r="P19" s="450"/>
      <c r="Q19" s="450"/>
      <c r="R19" s="450"/>
      <c r="S19" s="846"/>
      <c r="T19" s="451"/>
    </row>
    <row r="20" spans="1:20" ht="48" customHeight="1">
      <c r="A20" s="823"/>
      <c r="B20" s="447" t="s">
        <v>752</v>
      </c>
      <c r="C20" s="844"/>
      <c r="D20" s="844"/>
      <c r="E20" s="844"/>
      <c r="F20" s="452" t="s">
        <v>1262</v>
      </c>
      <c r="G20" s="453"/>
      <c r="H20" s="453"/>
      <c r="I20" s="453"/>
      <c r="J20" s="453"/>
      <c r="K20" s="453">
        <v>1</v>
      </c>
      <c r="L20" s="453"/>
      <c r="M20" s="453"/>
      <c r="N20" s="453"/>
      <c r="O20" s="453"/>
      <c r="P20" s="453"/>
      <c r="Q20" s="453"/>
      <c r="R20" s="453"/>
      <c r="S20" s="846"/>
      <c r="T20" s="454"/>
    </row>
    <row r="21" spans="1:20" ht="48" customHeight="1" thickBot="1">
      <c r="A21" s="823"/>
      <c r="B21" s="455" t="s">
        <v>753</v>
      </c>
      <c r="C21" s="844"/>
      <c r="D21" s="844"/>
      <c r="E21" s="844"/>
      <c r="F21" s="452" t="s">
        <v>1263</v>
      </c>
      <c r="G21" s="453"/>
      <c r="H21" s="453"/>
      <c r="I21" s="453"/>
      <c r="J21" s="453"/>
      <c r="K21" s="453"/>
      <c r="L21" s="453"/>
      <c r="M21" s="453">
        <v>1</v>
      </c>
      <c r="N21" s="453"/>
      <c r="O21" s="453"/>
      <c r="P21" s="453"/>
      <c r="Q21" s="453"/>
      <c r="R21" s="453"/>
      <c r="S21" s="846"/>
      <c r="T21" s="454"/>
    </row>
    <row r="22" spans="1:20" s="461" customFormat="1" ht="51.75" customHeight="1">
      <c r="A22" s="825" t="s">
        <v>1264</v>
      </c>
      <c r="B22" s="456" t="s">
        <v>754</v>
      </c>
      <c r="C22" s="811" t="s">
        <v>1249</v>
      </c>
      <c r="D22" s="811" t="s">
        <v>78</v>
      </c>
      <c r="E22" s="811">
        <v>1</v>
      </c>
      <c r="F22" s="457" t="s">
        <v>1265</v>
      </c>
      <c r="G22" s="458"/>
      <c r="H22" s="458"/>
      <c r="I22" s="458"/>
      <c r="J22" s="459">
        <v>1</v>
      </c>
      <c r="K22" s="459"/>
      <c r="L22" s="459"/>
      <c r="M22" s="459"/>
      <c r="N22" s="459"/>
      <c r="O22" s="459"/>
      <c r="P22" s="459"/>
      <c r="Q22" s="459"/>
      <c r="R22" s="459"/>
      <c r="S22" s="847"/>
      <c r="T22" s="460"/>
    </row>
    <row r="23" spans="1:20" s="461" customFormat="1" ht="48.75" customHeight="1">
      <c r="A23" s="826"/>
      <c r="B23" s="462" t="s">
        <v>755</v>
      </c>
      <c r="C23" s="812"/>
      <c r="D23" s="812"/>
      <c r="E23" s="812"/>
      <c r="F23" s="463" t="s">
        <v>1266</v>
      </c>
      <c r="G23" s="464"/>
      <c r="H23" s="464"/>
      <c r="I23" s="464"/>
      <c r="J23" s="465">
        <v>1</v>
      </c>
      <c r="K23" s="465"/>
      <c r="L23" s="465"/>
      <c r="M23" s="465"/>
      <c r="N23" s="465"/>
      <c r="O23" s="465"/>
      <c r="P23" s="465"/>
      <c r="Q23" s="465"/>
      <c r="R23" s="465"/>
      <c r="S23" s="848"/>
      <c r="T23" s="466"/>
    </row>
    <row r="24" spans="1:20" s="461" customFormat="1" ht="47.25" customHeight="1">
      <c r="A24" s="826"/>
      <c r="B24" s="462" t="s">
        <v>756</v>
      </c>
      <c r="C24" s="812"/>
      <c r="D24" s="812"/>
      <c r="E24" s="812"/>
      <c r="F24" s="467" t="s">
        <v>1267</v>
      </c>
      <c r="G24" s="468"/>
      <c r="H24" s="468"/>
      <c r="I24" s="468"/>
      <c r="J24" s="469"/>
      <c r="K24" s="469">
        <v>1</v>
      </c>
      <c r="L24" s="469"/>
      <c r="M24" s="469"/>
      <c r="N24" s="469"/>
      <c r="O24" s="469"/>
      <c r="P24" s="469"/>
      <c r="Q24" s="469"/>
      <c r="R24" s="469"/>
      <c r="S24" s="848"/>
      <c r="T24" s="470"/>
    </row>
    <row r="25" spans="1:20" s="461" customFormat="1" ht="33" customHeight="1">
      <c r="A25" s="826"/>
      <c r="B25" s="462" t="s">
        <v>757</v>
      </c>
      <c r="C25" s="812"/>
      <c r="D25" s="812"/>
      <c r="E25" s="812"/>
      <c r="F25" s="467" t="s">
        <v>1268</v>
      </c>
      <c r="G25" s="468"/>
      <c r="H25" s="468"/>
      <c r="I25" s="468"/>
      <c r="J25" s="469"/>
      <c r="K25" s="469"/>
      <c r="L25" s="469"/>
      <c r="M25" s="469">
        <v>1</v>
      </c>
      <c r="N25" s="469"/>
      <c r="O25" s="469"/>
      <c r="P25" s="469"/>
      <c r="Q25" s="469"/>
      <c r="R25" s="469"/>
      <c r="S25" s="848"/>
      <c r="T25" s="470"/>
    </row>
    <row r="26" spans="1:20" s="461" customFormat="1" ht="36.75" customHeight="1" thickBot="1">
      <c r="A26" s="827"/>
      <c r="B26" s="471" t="s">
        <v>758</v>
      </c>
      <c r="C26" s="813"/>
      <c r="D26" s="813"/>
      <c r="E26" s="813"/>
      <c r="F26" s="472" t="s">
        <v>1269</v>
      </c>
      <c r="G26" s="473"/>
      <c r="H26" s="473"/>
      <c r="I26" s="473"/>
      <c r="J26" s="474"/>
      <c r="K26" s="474"/>
      <c r="L26" s="474"/>
      <c r="M26" s="474"/>
      <c r="N26" s="474">
        <v>1</v>
      </c>
      <c r="O26" s="474"/>
      <c r="P26" s="474"/>
      <c r="Q26" s="474"/>
      <c r="R26" s="474"/>
      <c r="S26" s="849"/>
      <c r="T26" s="475"/>
    </row>
    <row r="27" spans="1:20" ht="49.5" customHeight="1">
      <c r="A27" s="817" t="s">
        <v>1270</v>
      </c>
      <c r="B27" s="817" t="s">
        <v>760</v>
      </c>
      <c r="C27" s="820" t="s">
        <v>761</v>
      </c>
      <c r="D27" s="820" t="s">
        <v>170</v>
      </c>
      <c r="E27" s="869">
        <v>0.88</v>
      </c>
      <c r="F27" s="476" t="s">
        <v>1271</v>
      </c>
      <c r="G27" s="477"/>
      <c r="H27" s="477"/>
      <c r="I27" s="477"/>
      <c r="J27" s="478">
        <v>1</v>
      </c>
      <c r="K27" s="478"/>
      <c r="L27" s="479"/>
      <c r="M27" s="478"/>
      <c r="N27" s="478"/>
      <c r="O27" s="478">
        <v>1</v>
      </c>
      <c r="P27" s="478"/>
      <c r="Q27" s="478"/>
      <c r="R27" s="478"/>
      <c r="S27" s="872">
        <f>[5]Presupuesto!T20+[5]Presupuesto!T21+[5]Presupuesto!T22+[5]Presupuesto!T23+[5]Presupuesto!T24</f>
        <v>16500</v>
      </c>
      <c r="T27" s="820" t="s">
        <v>1250</v>
      </c>
    </row>
    <row r="28" spans="1:20" ht="42.75" customHeight="1">
      <c r="A28" s="818"/>
      <c r="B28" s="818"/>
      <c r="C28" s="821"/>
      <c r="D28" s="821"/>
      <c r="E28" s="870"/>
      <c r="F28" s="480" t="s">
        <v>1272</v>
      </c>
      <c r="G28" s="481"/>
      <c r="H28" s="481"/>
      <c r="I28" s="482"/>
      <c r="J28" s="483"/>
      <c r="K28" s="483"/>
      <c r="L28" s="484"/>
      <c r="M28" s="483"/>
      <c r="N28" s="483"/>
      <c r="O28" s="483">
        <v>1</v>
      </c>
      <c r="P28" s="483"/>
      <c r="Q28" s="483"/>
      <c r="R28" s="483"/>
      <c r="S28" s="873"/>
      <c r="T28" s="821"/>
    </row>
    <row r="29" spans="1:20" ht="48.75" customHeight="1" thickBot="1">
      <c r="A29" s="819"/>
      <c r="B29" s="819"/>
      <c r="C29" s="822"/>
      <c r="D29" s="822"/>
      <c r="E29" s="871"/>
      <c r="F29" s="486" t="s">
        <v>1273</v>
      </c>
      <c r="G29" s="487"/>
      <c r="H29" s="487"/>
      <c r="I29" s="489"/>
      <c r="J29" s="490"/>
      <c r="K29" s="490"/>
      <c r="L29" s="490"/>
      <c r="M29" s="490"/>
      <c r="N29" s="490"/>
      <c r="O29" s="491"/>
      <c r="P29" s="490">
        <v>1</v>
      </c>
      <c r="Q29" s="490"/>
      <c r="R29" s="491"/>
      <c r="S29" s="853"/>
      <c r="T29" s="489" t="s">
        <v>763</v>
      </c>
    </row>
    <row r="30" spans="1:20" ht="30">
      <c r="A30" s="836" t="s">
        <v>764</v>
      </c>
      <c r="B30" s="431" t="s">
        <v>765</v>
      </c>
      <c r="C30" s="432" t="s">
        <v>766</v>
      </c>
      <c r="D30" s="432" t="s">
        <v>170</v>
      </c>
      <c r="E30" s="493">
        <v>1</v>
      </c>
      <c r="F30" s="431" t="s">
        <v>1274</v>
      </c>
      <c r="G30" s="493">
        <v>0.95</v>
      </c>
      <c r="H30" s="493"/>
      <c r="I30" s="432"/>
      <c r="J30" s="432"/>
      <c r="K30" s="432"/>
      <c r="L30" s="432"/>
      <c r="M30" s="432"/>
      <c r="N30" s="432"/>
      <c r="O30" s="432"/>
      <c r="P30" s="432"/>
      <c r="Q30" s="432"/>
      <c r="R30" s="432"/>
      <c r="S30" s="839">
        <f>SUM([5]Presupuesto!T25:T28)</f>
        <v>11900000</v>
      </c>
      <c r="T30" s="877" t="s">
        <v>1251</v>
      </c>
    </row>
    <row r="31" spans="1:20" ht="45">
      <c r="A31" s="837"/>
      <c r="B31" s="494" t="s">
        <v>767</v>
      </c>
      <c r="C31" s="495" t="s">
        <v>766</v>
      </c>
      <c r="D31" s="495" t="s">
        <v>170</v>
      </c>
      <c r="E31" s="496">
        <v>0.95</v>
      </c>
      <c r="F31" s="494" t="s">
        <v>1275</v>
      </c>
      <c r="G31" s="495"/>
      <c r="H31" s="437">
        <v>0.95</v>
      </c>
      <c r="I31" s="496">
        <v>0.95</v>
      </c>
      <c r="J31" s="496">
        <v>0.95</v>
      </c>
      <c r="K31" s="496">
        <v>0.95</v>
      </c>
      <c r="L31" s="496">
        <v>0.95</v>
      </c>
      <c r="M31" s="496">
        <v>0.95</v>
      </c>
      <c r="N31" s="496">
        <v>0.95</v>
      </c>
      <c r="O31" s="496">
        <v>0.95</v>
      </c>
      <c r="P31" s="496">
        <v>0.95</v>
      </c>
      <c r="Q31" s="496"/>
      <c r="R31" s="496"/>
      <c r="S31" s="875"/>
      <c r="T31" s="878"/>
    </row>
    <row r="32" spans="1:20" ht="45.75" thickBot="1">
      <c r="A32" s="874"/>
      <c r="B32" s="497" t="s">
        <v>768</v>
      </c>
      <c r="C32" s="498" t="s">
        <v>769</v>
      </c>
      <c r="D32" s="498" t="s">
        <v>170</v>
      </c>
      <c r="E32" s="499">
        <v>1</v>
      </c>
      <c r="F32" s="497" t="s">
        <v>1276</v>
      </c>
      <c r="G32" s="498"/>
      <c r="H32" s="498"/>
      <c r="I32" s="498"/>
      <c r="J32" s="498"/>
      <c r="K32" s="498"/>
      <c r="L32" s="498"/>
      <c r="M32" s="498"/>
      <c r="N32" s="498"/>
      <c r="O32" s="498"/>
      <c r="P32" s="498"/>
      <c r="Q32" s="498"/>
      <c r="R32" s="499">
        <v>0.95</v>
      </c>
      <c r="S32" s="876"/>
      <c r="T32" s="879"/>
    </row>
    <row r="33" spans="1:22" ht="45">
      <c r="A33" s="850" t="s">
        <v>1277</v>
      </c>
      <c r="B33" s="500" t="s">
        <v>772</v>
      </c>
      <c r="C33" s="501" t="s">
        <v>773</v>
      </c>
      <c r="D33" s="501" t="s">
        <v>150</v>
      </c>
      <c r="E33" s="501">
        <v>3</v>
      </c>
      <c r="F33" s="500" t="s">
        <v>1280</v>
      </c>
      <c r="G33" s="501"/>
      <c r="H33" s="501">
        <v>1</v>
      </c>
      <c r="I33" s="501"/>
      <c r="J33" s="502"/>
      <c r="K33" s="502">
        <v>1</v>
      </c>
      <c r="L33" s="502"/>
      <c r="M33" s="503"/>
      <c r="N33" s="502">
        <v>1</v>
      </c>
      <c r="O33" s="502"/>
      <c r="P33" s="502"/>
      <c r="Q33" s="502">
        <v>1</v>
      </c>
      <c r="R33" s="502"/>
      <c r="S33" s="852">
        <f>[5]Presupuesto!T29+[5]Presupuesto!T30+[5]Presupuesto!T31+[5]Presupuesto!T32</f>
        <v>213250</v>
      </c>
      <c r="T33" s="504"/>
    </row>
    <row r="34" spans="1:22" ht="42.75" customHeight="1" thickBot="1">
      <c r="A34" s="851"/>
      <c r="B34" s="486" t="s">
        <v>775</v>
      </c>
      <c r="C34" s="487" t="s">
        <v>776</v>
      </c>
      <c r="D34" s="487" t="s">
        <v>150</v>
      </c>
      <c r="E34" s="488">
        <v>1</v>
      </c>
      <c r="F34" s="486" t="s">
        <v>1281</v>
      </c>
      <c r="G34" s="487"/>
      <c r="H34" s="487">
        <v>1</v>
      </c>
      <c r="I34" s="487"/>
      <c r="J34" s="490"/>
      <c r="K34" s="490">
        <v>1</v>
      </c>
      <c r="L34" s="490"/>
      <c r="M34" s="490"/>
      <c r="N34" s="490">
        <v>1</v>
      </c>
      <c r="O34" s="490"/>
      <c r="P34" s="490"/>
      <c r="Q34" s="490"/>
      <c r="R34" s="490"/>
      <c r="S34" s="853"/>
      <c r="T34" s="505"/>
    </row>
    <row r="35" spans="1:22">
      <c r="A35" s="854" t="s">
        <v>1278</v>
      </c>
      <c r="B35" s="857" t="s">
        <v>779</v>
      </c>
      <c r="C35" s="857" t="s">
        <v>780</v>
      </c>
      <c r="D35" s="860" t="s">
        <v>170</v>
      </c>
      <c r="E35" s="863">
        <v>1</v>
      </c>
      <c r="F35" s="431" t="s">
        <v>1282</v>
      </c>
      <c r="G35" s="432">
        <v>1</v>
      </c>
      <c r="H35" s="506"/>
      <c r="I35" s="506"/>
      <c r="J35" s="432"/>
      <c r="K35" s="432"/>
      <c r="L35" s="432"/>
      <c r="M35" s="432"/>
      <c r="N35" s="432"/>
      <c r="O35" s="432"/>
      <c r="P35" s="432"/>
      <c r="Q35" s="432"/>
      <c r="R35" s="432"/>
      <c r="S35" s="866">
        <v>1407000</v>
      </c>
      <c r="T35" s="507"/>
    </row>
    <row r="36" spans="1:22">
      <c r="A36" s="855"/>
      <c r="B36" s="858"/>
      <c r="C36" s="858"/>
      <c r="D36" s="861"/>
      <c r="E36" s="864"/>
      <c r="F36" s="494" t="s">
        <v>1283</v>
      </c>
      <c r="G36" s="508"/>
      <c r="H36" s="509"/>
      <c r="I36" s="509"/>
      <c r="J36" s="508">
        <v>1</v>
      </c>
      <c r="K36" s="508"/>
      <c r="L36" s="508"/>
      <c r="M36" s="508"/>
      <c r="N36" s="508"/>
      <c r="O36" s="508"/>
      <c r="P36" s="508"/>
      <c r="Q36" s="508"/>
      <c r="R36" s="508"/>
      <c r="S36" s="867"/>
      <c r="T36" s="510"/>
    </row>
    <row r="37" spans="1:22">
      <c r="A37" s="855"/>
      <c r="B37" s="858"/>
      <c r="C37" s="858"/>
      <c r="D37" s="861"/>
      <c r="E37" s="864"/>
      <c r="F37" s="494" t="s">
        <v>1284</v>
      </c>
      <c r="G37" s="508"/>
      <c r="H37" s="509"/>
      <c r="I37" s="509"/>
      <c r="J37" s="508"/>
      <c r="K37" s="508">
        <v>1</v>
      </c>
      <c r="L37" s="508"/>
      <c r="M37" s="508"/>
      <c r="N37" s="508"/>
      <c r="O37" s="508"/>
      <c r="P37" s="508"/>
      <c r="Q37" s="508"/>
      <c r="R37" s="508"/>
      <c r="S37" s="867"/>
      <c r="T37" s="510"/>
    </row>
    <row r="38" spans="1:22">
      <c r="A38" s="855"/>
      <c r="B38" s="858"/>
      <c r="C38" s="858"/>
      <c r="D38" s="861"/>
      <c r="E38" s="864"/>
      <c r="F38" s="494" t="s">
        <v>1285</v>
      </c>
      <c r="G38" s="508"/>
      <c r="H38" s="509"/>
      <c r="I38" s="509"/>
      <c r="J38" s="508"/>
      <c r="K38" s="508"/>
      <c r="L38" s="508"/>
      <c r="M38" s="508">
        <v>1</v>
      </c>
      <c r="N38" s="508"/>
      <c r="O38" s="508"/>
      <c r="P38" s="508"/>
      <c r="Q38" s="508"/>
      <c r="R38" s="508"/>
      <c r="S38" s="867"/>
      <c r="T38" s="510"/>
    </row>
    <row r="39" spans="1:22">
      <c r="A39" s="855"/>
      <c r="B39" s="858"/>
      <c r="C39" s="858"/>
      <c r="D39" s="861"/>
      <c r="E39" s="864"/>
      <c r="F39" s="494" t="s">
        <v>1286</v>
      </c>
      <c r="G39" s="508"/>
      <c r="H39" s="509"/>
      <c r="I39" s="509"/>
      <c r="J39" s="508"/>
      <c r="K39" s="508"/>
      <c r="L39" s="508"/>
      <c r="M39" s="508"/>
      <c r="N39" s="508">
        <v>1</v>
      </c>
      <c r="O39" s="508"/>
      <c r="P39" s="508"/>
      <c r="Q39" s="508"/>
      <c r="R39" s="508"/>
      <c r="S39" s="867"/>
      <c r="T39" s="510"/>
    </row>
    <row r="40" spans="1:22">
      <c r="A40" s="855"/>
      <c r="B40" s="858"/>
      <c r="C40" s="858"/>
      <c r="D40" s="861"/>
      <c r="E40" s="864"/>
      <c r="F40" s="494" t="s">
        <v>1287</v>
      </c>
      <c r="G40" s="508"/>
      <c r="H40" s="509"/>
      <c r="I40" s="509"/>
      <c r="J40" s="508"/>
      <c r="K40" s="508"/>
      <c r="L40" s="508"/>
      <c r="M40" s="508">
        <v>1</v>
      </c>
      <c r="N40" s="508"/>
      <c r="O40" s="508"/>
      <c r="P40" s="508"/>
      <c r="Q40" s="508"/>
      <c r="R40" s="508"/>
      <c r="S40" s="867"/>
      <c r="T40" s="510"/>
    </row>
    <row r="41" spans="1:22">
      <c r="A41" s="855"/>
      <c r="B41" s="858"/>
      <c r="C41" s="858"/>
      <c r="D41" s="861"/>
      <c r="E41" s="864"/>
      <c r="F41" s="494" t="s">
        <v>1288</v>
      </c>
      <c r="G41" s="508"/>
      <c r="H41" s="509"/>
      <c r="I41" s="509"/>
      <c r="J41" s="508"/>
      <c r="K41" s="508"/>
      <c r="L41" s="508"/>
      <c r="M41" s="508"/>
      <c r="N41" s="508"/>
      <c r="O41" s="508"/>
      <c r="P41" s="508"/>
      <c r="Q41" s="508">
        <v>1</v>
      </c>
      <c r="R41" s="508"/>
      <c r="S41" s="867"/>
      <c r="T41" s="510"/>
    </row>
    <row r="42" spans="1:22">
      <c r="A42" s="855"/>
      <c r="B42" s="858"/>
      <c r="C42" s="858"/>
      <c r="D42" s="861"/>
      <c r="E42" s="864"/>
      <c r="F42" s="494" t="s">
        <v>1289</v>
      </c>
      <c r="G42" s="508"/>
      <c r="H42" s="509"/>
      <c r="I42" s="509"/>
      <c r="J42" s="508"/>
      <c r="K42" s="508"/>
      <c r="L42" s="508"/>
      <c r="M42" s="508"/>
      <c r="N42" s="508"/>
      <c r="O42" s="508"/>
      <c r="P42" s="508"/>
      <c r="Q42" s="508">
        <v>1</v>
      </c>
      <c r="R42" s="508"/>
      <c r="S42" s="867"/>
      <c r="T42" s="510"/>
    </row>
    <row r="43" spans="1:22" ht="16.5" customHeight="1" thickBot="1">
      <c r="A43" s="856"/>
      <c r="B43" s="859"/>
      <c r="C43" s="859"/>
      <c r="D43" s="862"/>
      <c r="E43" s="865"/>
      <c r="F43" s="497" t="s">
        <v>1290</v>
      </c>
      <c r="G43" s="511"/>
      <c r="H43" s="512"/>
      <c r="I43" s="512"/>
      <c r="J43" s="511"/>
      <c r="K43" s="511"/>
      <c r="L43" s="511"/>
      <c r="M43" s="511"/>
      <c r="N43" s="511"/>
      <c r="O43" s="511"/>
      <c r="P43" s="511"/>
      <c r="Q43" s="511"/>
      <c r="R43" s="511">
        <v>1</v>
      </c>
      <c r="S43" s="868"/>
      <c r="T43" s="513"/>
    </row>
    <row r="44" spans="1:22" s="405" customFormat="1" ht="72.75" customHeight="1">
      <c r="A44" s="823" t="s">
        <v>1279</v>
      </c>
      <c r="B44" s="824" t="s">
        <v>785</v>
      </c>
      <c r="C44" s="514" t="s">
        <v>786</v>
      </c>
      <c r="D44" s="478" t="s">
        <v>78</v>
      </c>
      <c r="E44" s="515">
        <v>1</v>
      </c>
      <c r="F44" s="538" t="s">
        <v>1291</v>
      </c>
      <c r="G44" s="516"/>
      <c r="H44" s="516"/>
      <c r="I44" s="516">
        <v>1</v>
      </c>
      <c r="J44" s="516"/>
      <c r="K44" s="516"/>
      <c r="L44" s="516"/>
      <c r="M44" s="516"/>
      <c r="N44" s="516"/>
      <c r="O44" s="516"/>
      <c r="P44" s="516"/>
      <c r="Q44" s="516"/>
      <c r="R44" s="516"/>
      <c r="S44" s="517"/>
      <c r="T44" s="518"/>
      <c r="U44" s="519"/>
      <c r="V44" s="520"/>
    </row>
    <row r="45" spans="1:22" s="405" customFormat="1" ht="64.5" customHeight="1">
      <c r="A45" s="823"/>
      <c r="B45" s="824"/>
      <c r="C45" s="514" t="s">
        <v>787</v>
      </c>
      <c r="D45" s="483" t="s">
        <v>78</v>
      </c>
      <c r="E45" s="521">
        <v>1</v>
      </c>
      <c r="F45" s="539" t="s">
        <v>1292</v>
      </c>
      <c r="G45" s="450"/>
      <c r="H45" s="450"/>
      <c r="I45" s="450"/>
      <c r="J45" s="450">
        <v>1</v>
      </c>
      <c r="K45" s="450"/>
      <c r="L45" s="450"/>
      <c r="M45" s="450"/>
      <c r="N45" s="450"/>
      <c r="O45" s="450"/>
      <c r="P45" s="450"/>
      <c r="Q45" s="450"/>
      <c r="R45" s="450"/>
      <c r="S45" s="485">
        <v>0</v>
      </c>
      <c r="T45" s="522"/>
      <c r="U45" s="519"/>
      <c r="V45" s="519"/>
    </row>
    <row r="46" spans="1:22" s="405" customFormat="1" ht="45">
      <c r="A46" s="823"/>
      <c r="B46" s="824"/>
      <c r="C46" s="523" t="s">
        <v>1252</v>
      </c>
      <c r="D46" s="483" t="s">
        <v>78</v>
      </c>
      <c r="E46" s="524">
        <v>1</v>
      </c>
      <c r="F46" s="539" t="s">
        <v>1293</v>
      </c>
      <c r="G46" s="450"/>
      <c r="H46" s="450"/>
      <c r="I46" s="450"/>
      <c r="J46" s="450"/>
      <c r="K46" s="450"/>
      <c r="L46" s="450"/>
      <c r="M46" s="450"/>
      <c r="N46" s="450"/>
      <c r="O46" s="450"/>
      <c r="P46" s="450"/>
      <c r="Q46" s="450"/>
      <c r="R46" s="450"/>
      <c r="S46" s="485"/>
      <c r="T46" s="522" t="s">
        <v>1253</v>
      </c>
      <c r="U46" s="519"/>
      <c r="V46" s="519"/>
    </row>
    <row r="47" spans="1:22" s="405" customFormat="1" ht="30.75" thickBot="1">
      <c r="A47" s="823"/>
      <c r="B47" s="824"/>
      <c r="C47" s="523" t="s">
        <v>788</v>
      </c>
      <c r="D47" s="448" t="s">
        <v>78</v>
      </c>
      <c r="E47" s="525">
        <v>2</v>
      </c>
      <c r="F47" s="540" t="s">
        <v>1294</v>
      </c>
      <c r="G47" s="453"/>
      <c r="H47" s="453"/>
      <c r="I47" s="453"/>
      <c r="J47" s="453"/>
      <c r="K47" s="453"/>
      <c r="L47" s="453">
        <v>1</v>
      </c>
      <c r="M47" s="453">
        <v>1</v>
      </c>
      <c r="N47" s="453"/>
      <c r="O47" s="453"/>
      <c r="P47" s="453"/>
      <c r="Q47" s="453"/>
      <c r="R47" s="453"/>
      <c r="S47" s="492"/>
      <c r="T47" s="522"/>
      <c r="U47" s="519"/>
      <c r="V47" s="519"/>
    </row>
    <row r="48" spans="1:22" s="405" customFormat="1" ht="46.5" customHeight="1">
      <c r="A48" s="825" t="s">
        <v>1127</v>
      </c>
      <c r="B48" s="811" t="s">
        <v>1254</v>
      </c>
      <c r="C48" s="811" t="s">
        <v>1255</v>
      </c>
      <c r="D48" s="811" t="s">
        <v>170</v>
      </c>
      <c r="E48" s="814">
        <v>1</v>
      </c>
      <c r="F48" s="456" t="s">
        <v>1295</v>
      </c>
      <c r="G48" s="459">
        <v>1</v>
      </c>
      <c r="H48" s="459"/>
      <c r="I48" s="459"/>
      <c r="J48" s="459"/>
      <c r="K48" s="459"/>
      <c r="L48" s="459"/>
      <c r="M48" s="459"/>
      <c r="N48" s="459"/>
      <c r="O48" s="459"/>
      <c r="P48" s="459"/>
      <c r="Q48" s="459"/>
      <c r="R48" s="459"/>
      <c r="S48" s="526"/>
      <c r="T48" s="527"/>
      <c r="U48" s="519"/>
      <c r="V48" s="519"/>
    </row>
    <row r="49" spans="1:22" s="405" customFormat="1" ht="45.75" customHeight="1">
      <c r="A49" s="826"/>
      <c r="B49" s="812"/>
      <c r="C49" s="812"/>
      <c r="D49" s="812"/>
      <c r="E49" s="815"/>
      <c r="F49" s="528" t="s">
        <v>1296</v>
      </c>
      <c r="G49" s="465">
        <v>1</v>
      </c>
      <c r="H49" s="465"/>
      <c r="I49" s="465"/>
      <c r="J49" s="465"/>
      <c r="K49" s="465"/>
      <c r="L49" s="465"/>
      <c r="M49" s="465"/>
      <c r="N49" s="465"/>
      <c r="O49" s="465"/>
      <c r="P49" s="465"/>
      <c r="Q49" s="465"/>
      <c r="R49" s="465"/>
      <c r="S49" s="529"/>
      <c r="T49" s="530"/>
      <c r="U49" s="519"/>
      <c r="V49" s="519"/>
    </row>
    <row r="50" spans="1:22" s="405" customFormat="1" ht="51" customHeight="1" thickBot="1">
      <c r="A50" s="827"/>
      <c r="B50" s="813"/>
      <c r="C50" s="813"/>
      <c r="D50" s="813"/>
      <c r="E50" s="816"/>
      <c r="F50" s="531" t="s">
        <v>1297</v>
      </c>
      <c r="G50" s="474"/>
      <c r="H50" s="474">
        <v>1</v>
      </c>
      <c r="I50" s="474"/>
      <c r="J50" s="474"/>
      <c r="K50" s="474"/>
      <c r="L50" s="474"/>
      <c r="M50" s="474"/>
      <c r="N50" s="474"/>
      <c r="O50" s="474"/>
      <c r="P50" s="474"/>
      <c r="Q50" s="474"/>
      <c r="R50" s="474"/>
      <c r="S50" s="532"/>
      <c r="T50" s="533"/>
      <c r="U50" s="519"/>
      <c r="V50" s="519"/>
    </row>
    <row r="51" spans="1:22" ht="16.5" thickBot="1">
      <c r="A51" s="809" t="s">
        <v>789</v>
      </c>
      <c r="B51" s="810"/>
      <c r="C51" s="810"/>
      <c r="D51" s="810"/>
      <c r="E51" s="810"/>
      <c r="F51" s="810"/>
      <c r="G51" s="810"/>
      <c r="H51" s="810"/>
      <c r="I51" s="810"/>
      <c r="J51" s="810"/>
      <c r="K51" s="810"/>
      <c r="L51" s="810"/>
      <c r="M51" s="810"/>
      <c r="N51" s="810"/>
      <c r="O51" s="810"/>
      <c r="P51" s="810"/>
      <c r="Q51" s="810"/>
      <c r="R51" s="810"/>
      <c r="S51" s="534">
        <f>SUM(S15:S43)</f>
        <v>18136750</v>
      </c>
      <c r="T51" s="535"/>
    </row>
  </sheetData>
  <mergeCells count="55">
    <mergeCell ref="A7:T7"/>
    <mergeCell ref="A33:A34"/>
    <mergeCell ref="S33:S34"/>
    <mergeCell ref="A35:A43"/>
    <mergeCell ref="B35:B43"/>
    <mergeCell ref="C35:C43"/>
    <mergeCell ref="D35:D43"/>
    <mergeCell ref="E35:E43"/>
    <mergeCell ref="S35:S43"/>
    <mergeCell ref="D27:D29"/>
    <mergeCell ref="E27:E29"/>
    <mergeCell ref="S27:S29"/>
    <mergeCell ref="T27:T28"/>
    <mergeCell ref="A30:A32"/>
    <mergeCell ref="S30:S32"/>
    <mergeCell ref="T30:T32"/>
    <mergeCell ref="A22:A26"/>
    <mergeCell ref="C22:C26"/>
    <mergeCell ref="D22:D26"/>
    <mergeCell ref="E22:E26"/>
    <mergeCell ref="S22:S26"/>
    <mergeCell ref="A15:A17"/>
    <mergeCell ref="S15:S17"/>
    <mergeCell ref="A18:A21"/>
    <mergeCell ref="C18:C21"/>
    <mergeCell ref="D18:D21"/>
    <mergeCell ref="E18:E21"/>
    <mergeCell ref="S18:S21"/>
    <mergeCell ref="A5:T5"/>
    <mergeCell ref="A6:T6"/>
    <mergeCell ref="B9:T9"/>
    <mergeCell ref="B10:T10"/>
    <mergeCell ref="A13:A14"/>
    <mergeCell ref="B13:B14"/>
    <mergeCell ref="C13:C14"/>
    <mergeCell ref="D13:E13"/>
    <mergeCell ref="F13:F14"/>
    <mergeCell ref="G13:I13"/>
    <mergeCell ref="J13:L13"/>
    <mergeCell ref="M13:O13"/>
    <mergeCell ref="P13:R13"/>
    <mergeCell ref="S13:S14"/>
    <mergeCell ref="T13:T14"/>
    <mergeCell ref="B11:T11"/>
    <mergeCell ref="A51:R51"/>
    <mergeCell ref="D48:D50"/>
    <mergeCell ref="E48:E50"/>
    <mergeCell ref="A27:A29"/>
    <mergeCell ref="B27:B29"/>
    <mergeCell ref="C27:C29"/>
    <mergeCell ref="A44:A47"/>
    <mergeCell ref="B44:B47"/>
    <mergeCell ref="A48:A50"/>
    <mergeCell ref="B48:B50"/>
    <mergeCell ref="C48:C50"/>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8CCA-525F-4284-9A20-1DD8021D0908}">
  <dimension ref="A1:AB41"/>
  <sheetViews>
    <sheetView showGridLines="0" workbookViewId="0">
      <selection activeCell="O1" sqref="O1:Z41"/>
    </sheetView>
  </sheetViews>
  <sheetFormatPr defaultColWidth="8.85546875" defaultRowHeight="15"/>
  <cols>
    <col min="1" max="13" width="8.85546875" style="358"/>
  </cols>
  <sheetData>
    <row r="1" spans="1:26" ht="15" customHeight="1">
      <c r="A1" s="629" t="s">
        <v>944</v>
      </c>
      <c r="B1" s="630"/>
      <c r="C1" s="630"/>
      <c r="D1" s="630"/>
      <c r="E1" s="630"/>
      <c r="F1" s="630"/>
      <c r="G1" s="630"/>
      <c r="H1" s="630"/>
      <c r="I1" s="630"/>
      <c r="J1" s="630"/>
      <c r="K1" s="630"/>
      <c r="L1" s="630"/>
      <c r="M1" s="630"/>
      <c r="N1" s="631"/>
      <c r="O1" s="638" t="s">
        <v>945</v>
      </c>
      <c r="P1" s="639"/>
      <c r="Q1" s="639"/>
      <c r="R1" s="639"/>
      <c r="S1" s="639"/>
      <c r="T1" s="639"/>
      <c r="U1" s="639"/>
      <c r="V1" s="639"/>
      <c r="W1" s="639"/>
      <c r="X1" s="639"/>
      <c r="Y1" s="639"/>
      <c r="Z1" s="640"/>
    </row>
    <row r="2" spans="1:26">
      <c r="A2" s="632"/>
      <c r="B2" s="633"/>
      <c r="C2" s="633"/>
      <c r="D2" s="633"/>
      <c r="E2" s="633"/>
      <c r="F2" s="633"/>
      <c r="G2" s="633"/>
      <c r="H2" s="633"/>
      <c r="I2" s="633"/>
      <c r="J2" s="633"/>
      <c r="K2" s="633"/>
      <c r="L2" s="633"/>
      <c r="M2" s="633"/>
      <c r="N2" s="634"/>
      <c r="O2" s="641"/>
      <c r="P2" s="642"/>
      <c r="Q2" s="642"/>
      <c r="R2" s="642"/>
      <c r="S2" s="642"/>
      <c r="T2" s="642"/>
      <c r="U2" s="642"/>
      <c r="V2" s="642"/>
      <c r="W2" s="642"/>
      <c r="X2" s="642"/>
      <c r="Y2" s="642"/>
      <c r="Z2" s="643"/>
    </row>
    <row r="3" spans="1:26">
      <c r="A3" s="632"/>
      <c r="B3" s="633"/>
      <c r="C3" s="633"/>
      <c r="D3" s="633"/>
      <c r="E3" s="633"/>
      <c r="F3" s="633"/>
      <c r="G3" s="633"/>
      <c r="H3" s="633"/>
      <c r="I3" s="633"/>
      <c r="J3" s="633"/>
      <c r="K3" s="633"/>
      <c r="L3" s="633"/>
      <c r="M3" s="633"/>
      <c r="N3" s="634"/>
      <c r="O3" s="641"/>
      <c r="P3" s="642"/>
      <c r="Q3" s="642"/>
      <c r="R3" s="642"/>
      <c r="S3" s="642"/>
      <c r="T3" s="642"/>
      <c r="U3" s="642"/>
      <c r="V3" s="642"/>
      <c r="W3" s="642"/>
      <c r="X3" s="642"/>
      <c r="Y3" s="642"/>
      <c r="Z3" s="643"/>
    </row>
    <row r="4" spans="1:26">
      <c r="A4" s="632"/>
      <c r="B4" s="633"/>
      <c r="C4" s="633"/>
      <c r="D4" s="633"/>
      <c r="E4" s="633"/>
      <c r="F4" s="633"/>
      <c r="G4" s="633"/>
      <c r="H4" s="633"/>
      <c r="I4" s="633"/>
      <c r="J4" s="633"/>
      <c r="K4" s="633"/>
      <c r="L4" s="633"/>
      <c r="M4" s="633"/>
      <c r="N4" s="634"/>
      <c r="O4" s="641"/>
      <c r="P4" s="642"/>
      <c r="Q4" s="642"/>
      <c r="R4" s="642"/>
      <c r="S4" s="642"/>
      <c r="T4" s="642"/>
      <c r="U4" s="642"/>
      <c r="V4" s="642"/>
      <c r="W4" s="642"/>
      <c r="X4" s="642"/>
      <c r="Y4" s="642"/>
      <c r="Z4" s="643"/>
    </row>
    <row r="5" spans="1:26">
      <c r="A5" s="632"/>
      <c r="B5" s="633"/>
      <c r="C5" s="633"/>
      <c r="D5" s="633"/>
      <c r="E5" s="633"/>
      <c r="F5" s="633"/>
      <c r="G5" s="633"/>
      <c r="H5" s="633"/>
      <c r="I5" s="633"/>
      <c r="J5" s="633"/>
      <c r="K5" s="633"/>
      <c r="L5" s="633"/>
      <c r="M5" s="633"/>
      <c r="N5" s="634"/>
      <c r="O5" s="641"/>
      <c r="P5" s="642"/>
      <c r="Q5" s="642"/>
      <c r="R5" s="642"/>
      <c r="S5" s="642"/>
      <c r="T5" s="642"/>
      <c r="U5" s="642"/>
      <c r="V5" s="642"/>
      <c r="W5" s="642"/>
      <c r="X5" s="642"/>
      <c r="Y5" s="642"/>
      <c r="Z5" s="643"/>
    </row>
    <row r="6" spans="1:26">
      <c r="A6" s="632"/>
      <c r="B6" s="633"/>
      <c r="C6" s="633"/>
      <c r="D6" s="633"/>
      <c r="E6" s="633"/>
      <c r="F6" s="633"/>
      <c r="G6" s="633"/>
      <c r="H6" s="633"/>
      <c r="I6" s="633"/>
      <c r="J6" s="633"/>
      <c r="K6" s="633"/>
      <c r="L6" s="633"/>
      <c r="M6" s="633"/>
      <c r="N6" s="634"/>
      <c r="O6" s="641"/>
      <c r="P6" s="642"/>
      <c r="Q6" s="642"/>
      <c r="R6" s="642"/>
      <c r="S6" s="642"/>
      <c r="T6" s="642"/>
      <c r="U6" s="642"/>
      <c r="V6" s="642"/>
      <c r="W6" s="642"/>
      <c r="X6" s="642"/>
      <c r="Y6" s="642"/>
      <c r="Z6" s="643"/>
    </row>
    <row r="7" spans="1:26">
      <c r="A7" s="632"/>
      <c r="B7" s="633"/>
      <c r="C7" s="633"/>
      <c r="D7" s="633"/>
      <c r="E7" s="633"/>
      <c r="F7" s="633"/>
      <c r="G7" s="633"/>
      <c r="H7" s="633"/>
      <c r="I7" s="633"/>
      <c r="J7" s="633"/>
      <c r="K7" s="633"/>
      <c r="L7" s="633"/>
      <c r="M7" s="633"/>
      <c r="N7" s="634"/>
      <c r="O7" s="641"/>
      <c r="P7" s="642"/>
      <c r="Q7" s="642"/>
      <c r="R7" s="642"/>
      <c r="S7" s="642"/>
      <c r="T7" s="642"/>
      <c r="U7" s="642"/>
      <c r="V7" s="642"/>
      <c r="W7" s="642"/>
      <c r="X7" s="642"/>
      <c r="Y7" s="642"/>
      <c r="Z7" s="643"/>
    </row>
    <row r="8" spans="1:26">
      <c r="A8" s="632"/>
      <c r="B8" s="633"/>
      <c r="C8" s="633"/>
      <c r="D8" s="633"/>
      <c r="E8" s="633"/>
      <c r="F8" s="633"/>
      <c r="G8" s="633"/>
      <c r="H8" s="633"/>
      <c r="I8" s="633"/>
      <c r="J8" s="633"/>
      <c r="K8" s="633"/>
      <c r="L8" s="633"/>
      <c r="M8" s="633"/>
      <c r="N8" s="634"/>
      <c r="O8" s="641"/>
      <c r="P8" s="642"/>
      <c r="Q8" s="642"/>
      <c r="R8" s="642"/>
      <c r="S8" s="642"/>
      <c r="T8" s="642"/>
      <c r="U8" s="642"/>
      <c r="V8" s="642"/>
      <c r="W8" s="642"/>
      <c r="X8" s="642"/>
      <c r="Y8" s="642"/>
      <c r="Z8" s="643"/>
    </row>
    <row r="9" spans="1:26">
      <c r="A9" s="632"/>
      <c r="B9" s="633"/>
      <c r="C9" s="633"/>
      <c r="D9" s="633"/>
      <c r="E9" s="633"/>
      <c r="F9" s="633"/>
      <c r="G9" s="633"/>
      <c r="H9" s="633"/>
      <c r="I9" s="633"/>
      <c r="J9" s="633"/>
      <c r="K9" s="633"/>
      <c r="L9" s="633"/>
      <c r="M9" s="633"/>
      <c r="N9" s="634"/>
      <c r="O9" s="641"/>
      <c r="P9" s="642"/>
      <c r="Q9" s="642"/>
      <c r="R9" s="642"/>
      <c r="S9" s="642"/>
      <c r="T9" s="642"/>
      <c r="U9" s="642"/>
      <c r="V9" s="642"/>
      <c r="W9" s="642"/>
      <c r="X9" s="642"/>
      <c r="Y9" s="642"/>
      <c r="Z9" s="643"/>
    </row>
    <row r="10" spans="1:26">
      <c r="A10" s="632"/>
      <c r="B10" s="633"/>
      <c r="C10" s="633"/>
      <c r="D10" s="633"/>
      <c r="E10" s="633"/>
      <c r="F10" s="633"/>
      <c r="G10" s="633"/>
      <c r="H10" s="633"/>
      <c r="I10" s="633"/>
      <c r="J10" s="633"/>
      <c r="K10" s="633"/>
      <c r="L10" s="633"/>
      <c r="M10" s="633"/>
      <c r="N10" s="634"/>
      <c r="O10" s="641"/>
      <c r="P10" s="642"/>
      <c r="Q10" s="642"/>
      <c r="R10" s="642"/>
      <c r="S10" s="642"/>
      <c r="T10" s="642"/>
      <c r="U10" s="642"/>
      <c r="V10" s="642"/>
      <c r="W10" s="642"/>
      <c r="X10" s="642"/>
      <c r="Y10" s="642"/>
      <c r="Z10" s="643"/>
    </row>
    <row r="11" spans="1:26">
      <c r="A11" s="632"/>
      <c r="B11" s="633"/>
      <c r="C11" s="633"/>
      <c r="D11" s="633"/>
      <c r="E11" s="633"/>
      <c r="F11" s="633"/>
      <c r="G11" s="633"/>
      <c r="H11" s="633"/>
      <c r="I11" s="633"/>
      <c r="J11" s="633"/>
      <c r="K11" s="633"/>
      <c r="L11" s="633"/>
      <c r="M11" s="633"/>
      <c r="N11" s="634"/>
      <c r="O11" s="641"/>
      <c r="P11" s="642"/>
      <c r="Q11" s="642"/>
      <c r="R11" s="642"/>
      <c r="S11" s="642"/>
      <c r="T11" s="642"/>
      <c r="U11" s="642"/>
      <c r="V11" s="642"/>
      <c r="W11" s="642"/>
      <c r="X11" s="642"/>
      <c r="Y11" s="642"/>
      <c r="Z11" s="643"/>
    </row>
    <row r="12" spans="1:26">
      <c r="A12" s="632"/>
      <c r="B12" s="633"/>
      <c r="C12" s="633"/>
      <c r="D12" s="633"/>
      <c r="E12" s="633"/>
      <c r="F12" s="633"/>
      <c r="G12" s="633"/>
      <c r="H12" s="633"/>
      <c r="I12" s="633"/>
      <c r="J12" s="633"/>
      <c r="K12" s="633"/>
      <c r="L12" s="633"/>
      <c r="M12" s="633"/>
      <c r="N12" s="634"/>
      <c r="O12" s="641"/>
      <c r="P12" s="642"/>
      <c r="Q12" s="642"/>
      <c r="R12" s="642"/>
      <c r="S12" s="642"/>
      <c r="T12" s="642"/>
      <c r="U12" s="642"/>
      <c r="V12" s="642"/>
      <c r="W12" s="642"/>
      <c r="X12" s="642"/>
      <c r="Y12" s="642"/>
      <c r="Z12" s="643"/>
    </row>
    <row r="13" spans="1:26">
      <c r="A13" s="632"/>
      <c r="B13" s="633"/>
      <c r="C13" s="633"/>
      <c r="D13" s="633"/>
      <c r="E13" s="633"/>
      <c r="F13" s="633"/>
      <c r="G13" s="633"/>
      <c r="H13" s="633"/>
      <c r="I13" s="633"/>
      <c r="J13" s="633"/>
      <c r="K13" s="633"/>
      <c r="L13" s="633"/>
      <c r="M13" s="633"/>
      <c r="N13" s="634"/>
      <c r="O13" s="641"/>
      <c r="P13" s="642"/>
      <c r="Q13" s="642"/>
      <c r="R13" s="642"/>
      <c r="S13" s="642"/>
      <c r="T13" s="642"/>
      <c r="U13" s="642"/>
      <c r="V13" s="642"/>
      <c r="W13" s="642"/>
      <c r="X13" s="642"/>
      <c r="Y13" s="642"/>
      <c r="Z13" s="643"/>
    </row>
    <row r="14" spans="1:26">
      <c r="A14" s="632"/>
      <c r="B14" s="633"/>
      <c r="C14" s="633"/>
      <c r="D14" s="633"/>
      <c r="E14" s="633"/>
      <c r="F14" s="633"/>
      <c r="G14" s="633"/>
      <c r="H14" s="633"/>
      <c r="I14" s="633"/>
      <c r="J14" s="633"/>
      <c r="K14" s="633"/>
      <c r="L14" s="633"/>
      <c r="M14" s="633"/>
      <c r="N14" s="634"/>
      <c r="O14" s="641"/>
      <c r="P14" s="642"/>
      <c r="Q14" s="642"/>
      <c r="R14" s="642"/>
      <c r="S14" s="642"/>
      <c r="T14" s="642"/>
      <c r="U14" s="642"/>
      <c r="V14" s="642"/>
      <c r="W14" s="642"/>
      <c r="X14" s="642"/>
      <c r="Y14" s="642"/>
      <c r="Z14" s="643"/>
    </row>
    <row r="15" spans="1:26">
      <c r="A15" s="632"/>
      <c r="B15" s="633"/>
      <c r="C15" s="633"/>
      <c r="D15" s="633"/>
      <c r="E15" s="633"/>
      <c r="F15" s="633"/>
      <c r="G15" s="633"/>
      <c r="H15" s="633"/>
      <c r="I15" s="633"/>
      <c r="J15" s="633"/>
      <c r="K15" s="633"/>
      <c r="L15" s="633"/>
      <c r="M15" s="633"/>
      <c r="N15" s="634"/>
      <c r="O15" s="641"/>
      <c r="P15" s="642"/>
      <c r="Q15" s="642"/>
      <c r="R15" s="642"/>
      <c r="S15" s="642"/>
      <c r="T15" s="642"/>
      <c r="U15" s="642"/>
      <c r="V15" s="642"/>
      <c r="W15" s="642"/>
      <c r="X15" s="642"/>
      <c r="Y15" s="642"/>
      <c r="Z15" s="643"/>
    </row>
    <row r="16" spans="1:26">
      <c r="A16" s="632"/>
      <c r="B16" s="633"/>
      <c r="C16" s="633"/>
      <c r="D16" s="633"/>
      <c r="E16" s="633"/>
      <c r="F16" s="633"/>
      <c r="G16" s="633"/>
      <c r="H16" s="633"/>
      <c r="I16" s="633"/>
      <c r="J16" s="633"/>
      <c r="K16" s="633"/>
      <c r="L16" s="633"/>
      <c r="M16" s="633"/>
      <c r="N16" s="634"/>
      <c r="O16" s="641"/>
      <c r="P16" s="642"/>
      <c r="Q16" s="642"/>
      <c r="R16" s="642"/>
      <c r="S16" s="642"/>
      <c r="T16" s="642"/>
      <c r="U16" s="642"/>
      <c r="V16" s="642"/>
      <c r="W16" s="642"/>
      <c r="X16" s="642"/>
      <c r="Y16" s="642"/>
      <c r="Z16" s="643"/>
    </row>
    <row r="17" spans="1:28">
      <c r="A17" s="632"/>
      <c r="B17" s="633"/>
      <c r="C17" s="633"/>
      <c r="D17" s="633"/>
      <c r="E17" s="633"/>
      <c r="F17" s="633"/>
      <c r="G17" s="633"/>
      <c r="H17" s="633"/>
      <c r="I17" s="633"/>
      <c r="J17" s="633"/>
      <c r="K17" s="633"/>
      <c r="L17" s="633"/>
      <c r="M17" s="633"/>
      <c r="N17" s="634"/>
      <c r="O17" s="641"/>
      <c r="P17" s="642"/>
      <c r="Q17" s="642"/>
      <c r="R17" s="642"/>
      <c r="S17" s="642"/>
      <c r="T17" s="642"/>
      <c r="U17" s="642"/>
      <c r="V17" s="642"/>
      <c r="W17" s="642"/>
      <c r="X17" s="642"/>
      <c r="Y17" s="642"/>
      <c r="Z17" s="643"/>
    </row>
    <row r="18" spans="1:28">
      <c r="A18" s="632"/>
      <c r="B18" s="633"/>
      <c r="C18" s="633"/>
      <c r="D18" s="633"/>
      <c r="E18" s="633"/>
      <c r="F18" s="633"/>
      <c r="G18" s="633"/>
      <c r="H18" s="633"/>
      <c r="I18" s="633"/>
      <c r="J18" s="633"/>
      <c r="K18" s="633"/>
      <c r="L18" s="633"/>
      <c r="M18" s="633"/>
      <c r="N18" s="634"/>
      <c r="O18" s="641"/>
      <c r="P18" s="642"/>
      <c r="Q18" s="642"/>
      <c r="R18" s="642"/>
      <c r="S18" s="642"/>
      <c r="T18" s="642"/>
      <c r="U18" s="642"/>
      <c r="V18" s="642"/>
      <c r="W18" s="642"/>
      <c r="X18" s="642"/>
      <c r="Y18" s="642"/>
      <c r="Z18" s="643"/>
    </row>
    <row r="19" spans="1:28">
      <c r="A19" s="632"/>
      <c r="B19" s="633"/>
      <c r="C19" s="633"/>
      <c r="D19" s="633"/>
      <c r="E19" s="633"/>
      <c r="F19" s="633"/>
      <c r="G19" s="633"/>
      <c r="H19" s="633"/>
      <c r="I19" s="633"/>
      <c r="J19" s="633"/>
      <c r="K19" s="633"/>
      <c r="L19" s="633"/>
      <c r="M19" s="633"/>
      <c r="N19" s="634"/>
      <c r="O19" s="641"/>
      <c r="P19" s="642"/>
      <c r="Q19" s="642"/>
      <c r="R19" s="642"/>
      <c r="S19" s="642"/>
      <c r="T19" s="642"/>
      <c r="U19" s="642"/>
      <c r="V19" s="642"/>
      <c r="W19" s="642"/>
      <c r="X19" s="642"/>
      <c r="Y19" s="642"/>
      <c r="Z19" s="643"/>
    </row>
    <row r="20" spans="1:28">
      <c r="A20" s="632"/>
      <c r="B20" s="633"/>
      <c r="C20" s="633"/>
      <c r="D20" s="633"/>
      <c r="E20" s="633"/>
      <c r="F20" s="633"/>
      <c r="G20" s="633"/>
      <c r="H20" s="633"/>
      <c r="I20" s="633"/>
      <c r="J20" s="633"/>
      <c r="K20" s="633"/>
      <c r="L20" s="633"/>
      <c r="M20" s="633"/>
      <c r="N20" s="634"/>
      <c r="O20" s="641"/>
      <c r="P20" s="642"/>
      <c r="Q20" s="642"/>
      <c r="R20" s="642"/>
      <c r="S20" s="642"/>
      <c r="T20" s="642"/>
      <c r="U20" s="642"/>
      <c r="V20" s="642"/>
      <c r="W20" s="642"/>
      <c r="X20" s="642"/>
      <c r="Y20" s="642"/>
      <c r="Z20" s="643"/>
    </row>
    <row r="21" spans="1:28">
      <c r="A21" s="632"/>
      <c r="B21" s="633"/>
      <c r="C21" s="633"/>
      <c r="D21" s="633"/>
      <c r="E21" s="633"/>
      <c r="F21" s="633"/>
      <c r="G21" s="633"/>
      <c r="H21" s="633"/>
      <c r="I21" s="633"/>
      <c r="J21" s="633"/>
      <c r="K21" s="633"/>
      <c r="L21" s="633"/>
      <c r="M21" s="633"/>
      <c r="N21" s="634"/>
      <c r="O21" s="641"/>
      <c r="P21" s="642"/>
      <c r="Q21" s="642"/>
      <c r="R21" s="642"/>
      <c r="S21" s="642"/>
      <c r="T21" s="642"/>
      <c r="U21" s="642"/>
      <c r="V21" s="642"/>
      <c r="W21" s="642"/>
      <c r="X21" s="642"/>
      <c r="Y21" s="642"/>
      <c r="Z21" s="643"/>
    </row>
    <row r="22" spans="1:28">
      <c r="A22" s="632"/>
      <c r="B22" s="633"/>
      <c r="C22" s="633"/>
      <c r="D22" s="633"/>
      <c r="E22" s="633"/>
      <c r="F22" s="633"/>
      <c r="G22" s="633"/>
      <c r="H22" s="633"/>
      <c r="I22" s="633"/>
      <c r="J22" s="633"/>
      <c r="K22" s="633"/>
      <c r="L22" s="633"/>
      <c r="M22" s="633"/>
      <c r="N22" s="634"/>
      <c r="O22" s="641"/>
      <c r="P22" s="642"/>
      <c r="Q22" s="642"/>
      <c r="R22" s="642"/>
      <c r="S22" s="642"/>
      <c r="T22" s="642"/>
      <c r="U22" s="642"/>
      <c r="V22" s="642"/>
      <c r="W22" s="642"/>
      <c r="X22" s="642"/>
      <c r="Y22" s="642"/>
      <c r="Z22" s="643"/>
      <c r="AB22" s="429"/>
    </row>
    <row r="23" spans="1:28">
      <c r="A23" s="632"/>
      <c r="B23" s="633"/>
      <c r="C23" s="633"/>
      <c r="D23" s="633"/>
      <c r="E23" s="633"/>
      <c r="F23" s="633"/>
      <c r="G23" s="633"/>
      <c r="H23" s="633"/>
      <c r="I23" s="633"/>
      <c r="J23" s="633"/>
      <c r="K23" s="633"/>
      <c r="L23" s="633"/>
      <c r="M23" s="633"/>
      <c r="N23" s="634"/>
      <c r="O23" s="641"/>
      <c r="P23" s="642"/>
      <c r="Q23" s="642"/>
      <c r="R23" s="642"/>
      <c r="S23" s="642"/>
      <c r="T23" s="642"/>
      <c r="U23" s="642"/>
      <c r="V23" s="642"/>
      <c r="W23" s="642"/>
      <c r="X23" s="642"/>
      <c r="Y23" s="642"/>
      <c r="Z23" s="643"/>
      <c r="AB23" s="429"/>
    </row>
    <row r="24" spans="1:28">
      <c r="A24" s="632"/>
      <c r="B24" s="633"/>
      <c r="C24" s="633"/>
      <c r="D24" s="633"/>
      <c r="E24" s="633"/>
      <c r="F24" s="633"/>
      <c r="G24" s="633"/>
      <c r="H24" s="633"/>
      <c r="I24" s="633"/>
      <c r="J24" s="633"/>
      <c r="K24" s="633"/>
      <c r="L24" s="633"/>
      <c r="M24" s="633"/>
      <c r="N24" s="634"/>
      <c r="O24" s="641"/>
      <c r="P24" s="642"/>
      <c r="Q24" s="642"/>
      <c r="R24" s="642"/>
      <c r="S24" s="642"/>
      <c r="T24" s="642"/>
      <c r="U24" s="642"/>
      <c r="V24" s="642"/>
      <c r="W24" s="642"/>
      <c r="X24" s="642"/>
      <c r="Y24" s="642"/>
      <c r="Z24" s="643"/>
    </row>
    <row r="25" spans="1:28">
      <c r="A25" s="632"/>
      <c r="B25" s="633"/>
      <c r="C25" s="633"/>
      <c r="D25" s="633"/>
      <c r="E25" s="633"/>
      <c r="F25" s="633"/>
      <c r="G25" s="633"/>
      <c r="H25" s="633"/>
      <c r="I25" s="633"/>
      <c r="J25" s="633"/>
      <c r="K25" s="633"/>
      <c r="L25" s="633"/>
      <c r="M25" s="633"/>
      <c r="N25" s="634"/>
      <c r="O25" s="641"/>
      <c r="P25" s="642"/>
      <c r="Q25" s="642"/>
      <c r="R25" s="642"/>
      <c r="S25" s="642"/>
      <c r="T25" s="642"/>
      <c r="U25" s="642"/>
      <c r="V25" s="642"/>
      <c r="W25" s="642"/>
      <c r="X25" s="642"/>
      <c r="Y25" s="642"/>
      <c r="Z25" s="643"/>
    </row>
    <row r="26" spans="1:28">
      <c r="A26" s="632"/>
      <c r="B26" s="633"/>
      <c r="C26" s="633"/>
      <c r="D26" s="633"/>
      <c r="E26" s="633"/>
      <c r="F26" s="633"/>
      <c r="G26" s="633"/>
      <c r="H26" s="633"/>
      <c r="I26" s="633"/>
      <c r="J26" s="633"/>
      <c r="K26" s="633"/>
      <c r="L26" s="633"/>
      <c r="M26" s="633"/>
      <c r="N26" s="634"/>
      <c r="O26" s="641"/>
      <c r="P26" s="642"/>
      <c r="Q26" s="642"/>
      <c r="R26" s="642"/>
      <c r="S26" s="642"/>
      <c r="T26" s="642"/>
      <c r="U26" s="642"/>
      <c r="V26" s="642"/>
      <c r="W26" s="642"/>
      <c r="X26" s="642"/>
      <c r="Y26" s="642"/>
      <c r="Z26" s="643"/>
    </row>
    <row r="27" spans="1:28">
      <c r="A27" s="632"/>
      <c r="B27" s="633"/>
      <c r="C27" s="633"/>
      <c r="D27" s="633"/>
      <c r="E27" s="633"/>
      <c r="F27" s="633"/>
      <c r="G27" s="633"/>
      <c r="H27" s="633"/>
      <c r="I27" s="633"/>
      <c r="J27" s="633"/>
      <c r="K27" s="633"/>
      <c r="L27" s="633"/>
      <c r="M27" s="633"/>
      <c r="N27" s="634"/>
      <c r="O27" s="641"/>
      <c r="P27" s="642"/>
      <c r="Q27" s="642"/>
      <c r="R27" s="642"/>
      <c r="S27" s="642"/>
      <c r="T27" s="642"/>
      <c r="U27" s="642"/>
      <c r="V27" s="642"/>
      <c r="W27" s="642"/>
      <c r="X27" s="642"/>
      <c r="Y27" s="642"/>
      <c r="Z27" s="643"/>
    </row>
    <row r="28" spans="1:28">
      <c r="A28" s="632"/>
      <c r="B28" s="633"/>
      <c r="C28" s="633"/>
      <c r="D28" s="633"/>
      <c r="E28" s="633"/>
      <c r="F28" s="633"/>
      <c r="G28" s="633"/>
      <c r="H28" s="633"/>
      <c r="I28" s="633"/>
      <c r="J28" s="633"/>
      <c r="K28" s="633"/>
      <c r="L28" s="633"/>
      <c r="M28" s="633"/>
      <c r="N28" s="634"/>
      <c r="O28" s="641"/>
      <c r="P28" s="642"/>
      <c r="Q28" s="642"/>
      <c r="R28" s="642"/>
      <c r="S28" s="642"/>
      <c r="T28" s="642"/>
      <c r="U28" s="642"/>
      <c r="V28" s="642"/>
      <c r="W28" s="642"/>
      <c r="X28" s="642"/>
      <c r="Y28" s="642"/>
      <c r="Z28" s="643"/>
    </row>
    <row r="29" spans="1:28">
      <c r="A29" s="632"/>
      <c r="B29" s="633"/>
      <c r="C29" s="633"/>
      <c r="D29" s="633"/>
      <c r="E29" s="633"/>
      <c r="F29" s="633"/>
      <c r="G29" s="633"/>
      <c r="H29" s="633"/>
      <c r="I29" s="633"/>
      <c r="J29" s="633"/>
      <c r="K29" s="633"/>
      <c r="L29" s="633"/>
      <c r="M29" s="633"/>
      <c r="N29" s="634"/>
      <c r="O29" s="641"/>
      <c r="P29" s="642"/>
      <c r="Q29" s="642"/>
      <c r="R29" s="642"/>
      <c r="S29" s="642"/>
      <c r="T29" s="642"/>
      <c r="U29" s="642"/>
      <c r="V29" s="642"/>
      <c r="W29" s="642"/>
      <c r="X29" s="642"/>
      <c r="Y29" s="642"/>
      <c r="Z29" s="643"/>
    </row>
    <row r="30" spans="1:28">
      <c r="A30" s="632"/>
      <c r="B30" s="633"/>
      <c r="C30" s="633"/>
      <c r="D30" s="633"/>
      <c r="E30" s="633"/>
      <c r="F30" s="633"/>
      <c r="G30" s="633"/>
      <c r="H30" s="633"/>
      <c r="I30" s="633"/>
      <c r="J30" s="633"/>
      <c r="K30" s="633"/>
      <c r="L30" s="633"/>
      <c r="M30" s="633"/>
      <c r="N30" s="634"/>
      <c r="O30" s="641"/>
      <c r="P30" s="642"/>
      <c r="Q30" s="642"/>
      <c r="R30" s="642"/>
      <c r="S30" s="642"/>
      <c r="T30" s="642"/>
      <c r="U30" s="642"/>
      <c r="V30" s="642"/>
      <c r="W30" s="642"/>
      <c r="X30" s="642"/>
      <c r="Y30" s="642"/>
      <c r="Z30" s="643"/>
    </row>
    <row r="31" spans="1:28">
      <c r="A31" s="632"/>
      <c r="B31" s="633"/>
      <c r="C31" s="633"/>
      <c r="D31" s="633"/>
      <c r="E31" s="633"/>
      <c r="F31" s="633"/>
      <c r="G31" s="633"/>
      <c r="H31" s="633"/>
      <c r="I31" s="633"/>
      <c r="J31" s="633"/>
      <c r="K31" s="633"/>
      <c r="L31" s="633"/>
      <c r="M31" s="633"/>
      <c r="N31" s="634"/>
      <c r="O31" s="641"/>
      <c r="P31" s="642"/>
      <c r="Q31" s="642"/>
      <c r="R31" s="642"/>
      <c r="S31" s="642"/>
      <c r="T31" s="642"/>
      <c r="U31" s="642"/>
      <c r="V31" s="642"/>
      <c r="W31" s="642"/>
      <c r="X31" s="642"/>
      <c r="Y31" s="642"/>
      <c r="Z31" s="643"/>
    </row>
    <row r="32" spans="1:28">
      <c r="A32" s="632"/>
      <c r="B32" s="633"/>
      <c r="C32" s="633"/>
      <c r="D32" s="633"/>
      <c r="E32" s="633"/>
      <c r="F32" s="633"/>
      <c r="G32" s="633"/>
      <c r="H32" s="633"/>
      <c r="I32" s="633"/>
      <c r="J32" s="633"/>
      <c r="K32" s="633"/>
      <c r="L32" s="633"/>
      <c r="M32" s="633"/>
      <c r="N32" s="634"/>
      <c r="O32" s="641"/>
      <c r="P32" s="642"/>
      <c r="Q32" s="642"/>
      <c r="R32" s="642"/>
      <c r="S32" s="642"/>
      <c r="T32" s="642"/>
      <c r="U32" s="642"/>
      <c r="V32" s="642"/>
      <c r="W32" s="642"/>
      <c r="X32" s="642"/>
      <c r="Y32" s="642"/>
      <c r="Z32" s="643"/>
    </row>
    <row r="33" spans="1:26">
      <c r="A33" s="632"/>
      <c r="B33" s="633"/>
      <c r="C33" s="633"/>
      <c r="D33" s="633"/>
      <c r="E33" s="633"/>
      <c r="F33" s="633"/>
      <c r="G33" s="633"/>
      <c r="H33" s="633"/>
      <c r="I33" s="633"/>
      <c r="J33" s="633"/>
      <c r="K33" s="633"/>
      <c r="L33" s="633"/>
      <c r="M33" s="633"/>
      <c r="N33" s="634"/>
      <c r="O33" s="641"/>
      <c r="P33" s="642"/>
      <c r="Q33" s="642"/>
      <c r="R33" s="642"/>
      <c r="S33" s="642"/>
      <c r="T33" s="642"/>
      <c r="U33" s="642"/>
      <c r="V33" s="642"/>
      <c r="W33" s="642"/>
      <c r="X33" s="642"/>
      <c r="Y33" s="642"/>
      <c r="Z33" s="643"/>
    </row>
    <row r="34" spans="1:26">
      <c r="A34" s="632"/>
      <c r="B34" s="633"/>
      <c r="C34" s="633"/>
      <c r="D34" s="633"/>
      <c r="E34" s="633"/>
      <c r="F34" s="633"/>
      <c r="G34" s="633"/>
      <c r="H34" s="633"/>
      <c r="I34" s="633"/>
      <c r="J34" s="633"/>
      <c r="K34" s="633"/>
      <c r="L34" s="633"/>
      <c r="M34" s="633"/>
      <c r="N34" s="634"/>
      <c r="O34" s="641"/>
      <c r="P34" s="642"/>
      <c r="Q34" s="642"/>
      <c r="R34" s="642"/>
      <c r="S34" s="642"/>
      <c r="T34" s="642"/>
      <c r="U34" s="642"/>
      <c r="V34" s="642"/>
      <c r="W34" s="642"/>
      <c r="X34" s="642"/>
      <c r="Y34" s="642"/>
      <c r="Z34" s="643"/>
    </row>
    <row r="35" spans="1:26">
      <c r="A35" s="632"/>
      <c r="B35" s="633"/>
      <c r="C35" s="633"/>
      <c r="D35" s="633"/>
      <c r="E35" s="633"/>
      <c r="F35" s="633"/>
      <c r="G35" s="633"/>
      <c r="H35" s="633"/>
      <c r="I35" s="633"/>
      <c r="J35" s="633"/>
      <c r="K35" s="633"/>
      <c r="L35" s="633"/>
      <c r="M35" s="633"/>
      <c r="N35" s="634"/>
      <c r="O35" s="641"/>
      <c r="P35" s="642"/>
      <c r="Q35" s="642"/>
      <c r="R35" s="642"/>
      <c r="S35" s="642"/>
      <c r="T35" s="642"/>
      <c r="U35" s="642"/>
      <c r="V35" s="642"/>
      <c r="W35" s="642"/>
      <c r="X35" s="642"/>
      <c r="Y35" s="642"/>
      <c r="Z35" s="643"/>
    </row>
    <row r="36" spans="1:26">
      <c r="A36" s="632"/>
      <c r="B36" s="633"/>
      <c r="C36" s="633"/>
      <c r="D36" s="633"/>
      <c r="E36" s="633"/>
      <c r="F36" s="633"/>
      <c r="G36" s="633"/>
      <c r="H36" s="633"/>
      <c r="I36" s="633"/>
      <c r="J36" s="633"/>
      <c r="K36" s="633"/>
      <c r="L36" s="633"/>
      <c r="M36" s="633"/>
      <c r="N36" s="634"/>
      <c r="O36" s="641"/>
      <c r="P36" s="642"/>
      <c r="Q36" s="642"/>
      <c r="R36" s="642"/>
      <c r="S36" s="642"/>
      <c r="T36" s="642"/>
      <c r="U36" s="642"/>
      <c r="V36" s="642"/>
      <c r="W36" s="642"/>
      <c r="X36" s="642"/>
      <c r="Y36" s="642"/>
      <c r="Z36" s="643"/>
    </row>
    <row r="37" spans="1:26">
      <c r="A37" s="632"/>
      <c r="B37" s="633"/>
      <c r="C37" s="633"/>
      <c r="D37" s="633"/>
      <c r="E37" s="633"/>
      <c r="F37" s="633"/>
      <c r="G37" s="633"/>
      <c r="H37" s="633"/>
      <c r="I37" s="633"/>
      <c r="J37" s="633"/>
      <c r="K37" s="633"/>
      <c r="L37" s="633"/>
      <c r="M37" s="633"/>
      <c r="N37" s="634"/>
      <c r="O37" s="641"/>
      <c r="P37" s="642"/>
      <c r="Q37" s="642"/>
      <c r="R37" s="642"/>
      <c r="S37" s="642"/>
      <c r="T37" s="642"/>
      <c r="U37" s="642"/>
      <c r="V37" s="642"/>
      <c r="W37" s="642"/>
      <c r="X37" s="642"/>
      <c r="Y37" s="642"/>
      <c r="Z37" s="643"/>
    </row>
    <row r="38" spans="1:26">
      <c r="A38" s="632"/>
      <c r="B38" s="633"/>
      <c r="C38" s="633"/>
      <c r="D38" s="633"/>
      <c r="E38" s="633"/>
      <c r="F38" s="633"/>
      <c r="G38" s="633"/>
      <c r="H38" s="633"/>
      <c r="I38" s="633"/>
      <c r="J38" s="633"/>
      <c r="K38" s="633"/>
      <c r="L38" s="633"/>
      <c r="M38" s="633"/>
      <c r="N38" s="634"/>
      <c r="O38" s="641"/>
      <c r="P38" s="642"/>
      <c r="Q38" s="642"/>
      <c r="R38" s="642"/>
      <c r="S38" s="642"/>
      <c r="T38" s="642"/>
      <c r="U38" s="642"/>
      <c r="V38" s="642"/>
      <c r="W38" s="642"/>
      <c r="X38" s="642"/>
      <c r="Y38" s="642"/>
      <c r="Z38" s="643"/>
    </row>
    <row r="39" spans="1:26">
      <c r="A39" s="632"/>
      <c r="B39" s="633"/>
      <c r="C39" s="633"/>
      <c r="D39" s="633"/>
      <c r="E39" s="633"/>
      <c r="F39" s="633"/>
      <c r="G39" s="633"/>
      <c r="H39" s="633"/>
      <c r="I39" s="633"/>
      <c r="J39" s="633"/>
      <c r="K39" s="633"/>
      <c r="L39" s="633"/>
      <c r="M39" s="633"/>
      <c r="N39" s="634"/>
      <c r="O39" s="641"/>
      <c r="P39" s="642"/>
      <c r="Q39" s="642"/>
      <c r="R39" s="642"/>
      <c r="S39" s="642"/>
      <c r="T39" s="642"/>
      <c r="U39" s="642"/>
      <c r="V39" s="642"/>
      <c r="W39" s="642"/>
      <c r="X39" s="642"/>
      <c r="Y39" s="642"/>
      <c r="Z39" s="643"/>
    </row>
    <row r="40" spans="1:26">
      <c r="A40" s="632"/>
      <c r="B40" s="633"/>
      <c r="C40" s="633"/>
      <c r="D40" s="633"/>
      <c r="E40" s="633"/>
      <c r="F40" s="633"/>
      <c r="G40" s="633"/>
      <c r="H40" s="633"/>
      <c r="I40" s="633"/>
      <c r="J40" s="633"/>
      <c r="K40" s="633"/>
      <c r="L40" s="633"/>
      <c r="M40" s="633"/>
      <c r="N40" s="634"/>
      <c r="O40" s="641"/>
      <c r="P40" s="642"/>
      <c r="Q40" s="642"/>
      <c r="R40" s="642"/>
      <c r="S40" s="642"/>
      <c r="T40" s="642"/>
      <c r="U40" s="642"/>
      <c r="V40" s="642"/>
      <c r="W40" s="642"/>
      <c r="X40" s="642"/>
      <c r="Y40" s="642"/>
      <c r="Z40" s="643"/>
    </row>
    <row r="41" spans="1:26" ht="15.75" thickBot="1">
      <c r="A41" s="635"/>
      <c r="B41" s="636"/>
      <c r="C41" s="636"/>
      <c r="D41" s="636"/>
      <c r="E41" s="636"/>
      <c r="F41" s="636"/>
      <c r="G41" s="636"/>
      <c r="H41" s="636"/>
      <c r="I41" s="636"/>
      <c r="J41" s="636"/>
      <c r="K41" s="636"/>
      <c r="L41" s="636"/>
      <c r="M41" s="636"/>
      <c r="N41" s="637"/>
      <c r="O41" s="644"/>
      <c r="P41" s="645"/>
      <c r="Q41" s="645"/>
      <c r="R41" s="645"/>
      <c r="S41" s="645"/>
      <c r="T41" s="645"/>
      <c r="U41" s="645"/>
      <c r="V41" s="645"/>
      <c r="W41" s="645"/>
      <c r="X41" s="645"/>
      <c r="Y41" s="645"/>
      <c r="Z41" s="646"/>
    </row>
  </sheetData>
  <mergeCells count="2">
    <mergeCell ref="A1:N41"/>
    <mergeCell ref="O1:Z4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94B3-F8E8-4BF8-AB9A-18AD90294742}">
  <dimension ref="A7:BE54"/>
  <sheetViews>
    <sheetView showGridLines="0" workbookViewId="0">
      <selection activeCell="B16" sqref="B16:B17"/>
    </sheetView>
  </sheetViews>
  <sheetFormatPr defaultColWidth="11.42578125" defaultRowHeight="15"/>
  <cols>
    <col min="1" max="1" width="43.42578125" style="27" customWidth="1"/>
    <col min="2" max="2" width="42.140625" style="336" customWidth="1"/>
    <col min="3" max="3" width="20.85546875" style="27" customWidth="1"/>
    <col min="4" max="4" width="26.7109375" style="27" customWidth="1"/>
    <col min="5" max="5" width="11.7109375" style="27" bestFit="1" customWidth="1"/>
    <col min="6" max="7" width="17.42578125" style="27" customWidth="1"/>
    <col min="8" max="8" width="18.7109375" style="65" bestFit="1" customWidth="1"/>
    <col min="9" max="10" width="16.140625" style="27" bestFit="1" customWidth="1"/>
    <col min="11" max="11" width="16.85546875" style="27" bestFit="1" customWidth="1"/>
    <col min="12" max="12" width="17.28515625" style="27" bestFit="1" customWidth="1"/>
    <col min="13" max="13" width="16.28515625" style="27" bestFit="1" customWidth="1"/>
    <col min="14" max="14" width="20.28515625" style="27" customWidth="1"/>
    <col min="15" max="15" width="16.140625" style="27" bestFit="1" customWidth="1"/>
    <col min="16" max="16" width="16.28515625" style="27" customWidth="1"/>
    <col min="17" max="17" width="16.140625" style="27" bestFit="1" customWidth="1"/>
    <col min="18" max="18" width="16" style="27" customWidth="1"/>
    <col min="19" max="19" width="16.28515625" style="27" bestFit="1" customWidth="1"/>
    <col min="20" max="20" width="16.140625" style="27" bestFit="1" customWidth="1"/>
    <col min="21" max="21" width="22.140625" style="27" bestFit="1" customWidth="1"/>
    <col min="22" max="22" width="22.140625" style="27" customWidth="1"/>
    <col min="23" max="16384" width="11.42578125" style="27"/>
  </cols>
  <sheetData>
    <row r="7" spans="1:22" ht="28.5" customHeight="1">
      <c r="A7" s="698" t="s">
        <v>736</v>
      </c>
      <c r="B7" s="698"/>
      <c r="C7" s="698"/>
      <c r="D7" s="698"/>
      <c r="E7" s="698"/>
      <c r="F7" s="698"/>
      <c r="G7" s="698"/>
      <c r="H7" s="698"/>
      <c r="I7" s="698"/>
      <c r="J7" s="698"/>
      <c r="K7" s="698"/>
      <c r="L7" s="698"/>
      <c r="M7" s="698"/>
      <c r="N7" s="698"/>
      <c r="O7" s="698"/>
      <c r="P7" s="698"/>
      <c r="Q7" s="698"/>
      <c r="R7" s="698"/>
      <c r="S7" s="698"/>
      <c r="T7" s="698"/>
      <c r="U7" s="698"/>
      <c r="V7" s="698"/>
    </row>
    <row r="8" spans="1:22" ht="20.25">
      <c r="A8" s="698" t="s">
        <v>61</v>
      </c>
      <c r="B8" s="698"/>
      <c r="C8" s="698"/>
      <c r="D8" s="698"/>
      <c r="E8" s="698"/>
      <c r="F8" s="698"/>
      <c r="G8" s="698"/>
      <c r="H8" s="698"/>
      <c r="I8" s="698"/>
      <c r="J8" s="698"/>
      <c r="K8" s="698"/>
      <c r="L8" s="698"/>
      <c r="M8" s="698"/>
      <c r="N8" s="698"/>
      <c r="O8" s="698"/>
      <c r="P8" s="698"/>
      <c r="Q8" s="698"/>
      <c r="R8" s="698"/>
      <c r="S8" s="698"/>
      <c r="T8" s="698"/>
      <c r="U8" s="698"/>
      <c r="V8" s="698"/>
    </row>
    <row r="9" spans="1:22" ht="20.25">
      <c r="A9" s="698" t="s">
        <v>137</v>
      </c>
      <c r="B9" s="698"/>
      <c r="C9" s="698"/>
      <c r="D9" s="698"/>
      <c r="E9" s="698"/>
      <c r="F9" s="698"/>
      <c r="G9" s="698"/>
      <c r="H9" s="698"/>
      <c r="I9" s="698"/>
      <c r="J9" s="698"/>
      <c r="K9" s="698"/>
      <c r="L9" s="698"/>
      <c r="M9" s="698"/>
      <c r="N9" s="698"/>
      <c r="O9" s="698"/>
      <c r="P9" s="698"/>
      <c r="Q9" s="698"/>
      <c r="R9" s="698"/>
      <c r="S9" s="698"/>
      <c r="T9" s="698"/>
      <c r="U9" s="698"/>
      <c r="V9" s="698"/>
    </row>
    <row r="10" spans="1:22" ht="20.25">
      <c r="A10" s="79" t="s">
        <v>62</v>
      </c>
      <c r="B10" s="880" t="s">
        <v>737</v>
      </c>
      <c r="C10" s="880"/>
      <c r="D10" s="880"/>
      <c r="E10" s="880"/>
      <c r="F10" s="880"/>
      <c r="G10" s="880"/>
      <c r="H10" s="880"/>
      <c r="I10" s="880"/>
      <c r="J10" s="880"/>
      <c r="K10" s="880"/>
      <c r="L10" s="880"/>
      <c r="M10" s="880"/>
      <c r="N10" s="880"/>
      <c r="O10" s="880"/>
      <c r="P10" s="880"/>
      <c r="Q10" s="880"/>
      <c r="R10" s="880"/>
      <c r="S10" s="880"/>
      <c r="T10" s="880"/>
      <c r="U10" s="880"/>
      <c r="V10" s="880"/>
    </row>
    <row r="11" spans="1:22" ht="20.25">
      <c r="A11" s="79" t="s">
        <v>738</v>
      </c>
      <c r="B11" s="880" t="s">
        <v>905</v>
      </c>
      <c r="C11" s="880"/>
      <c r="D11" s="880"/>
      <c r="E11" s="880"/>
      <c r="F11" s="880"/>
      <c r="G11" s="880"/>
      <c r="H11" s="880"/>
      <c r="I11" s="880"/>
      <c r="J11" s="880"/>
      <c r="K11" s="880"/>
      <c r="L11" s="880"/>
      <c r="M11" s="880"/>
      <c r="N11" s="880"/>
      <c r="O11" s="880"/>
      <c r="P11" s="880"/>
      <c r="Q11" s="880"/>
      <c r="R11" s="880"/>
      <c r="S11" s="880"/>
      <c r="T11" s="880"/>
      <c r="U11" s="880"/>
      <c r="V11" s="880"/>
    </row>
    <row r="12" spans="1:22" ht="20.25">
      <c r="A12" s="79" t="s">
        <v>739</v>
      </c>
      <c r="B12" s="880" t="s">
        <v>503</v>
      </c>
      <c r="C12" s="880"/>
      <c r="D12" s="880"/>
      <c r="E12" s="880"/>
      <c r="F12" s="880"/>
      <c r="G12" s="880"/>
      <c r="H12" s="880"/>
      <c r="I12" s="880"/>
      <c r="J12" s="880"/>
      <c r="K12" s="880"/>
      <c r="L12" s="880"/>
      <c r="M12" s="880"/>
      <c r="N12" s="880"/>
      <c r="O12" s="880"/>
      <c r="P12" s="880"/>
      <c r="Q12" s="880"/>
      <c r="R12" s="880"/>
      <c r="S12" s="880"/>
      <c r="T12" s="880"/>
      <c r="U12" s="880"/>
      <c r="V12" s="880"/>
    </row>
    <row r="14" spans="1:22" ht="18.75" customHeight="1">
      <c r="A14" s="770" t="s">
        <v>66</v>
      </c>
      <c r="B14" s="770" t="s">
        <v>70</v>
      </c>
      <c r="C14" s="770" t="s">
        <v>23</v>
      </c>
      <c r="D14" s="770" t="s">
        <v>139</v>
      </c>
      <c r="E14" s="708" t="s">
        <v>184</v>
      </c>
      <c r="F14" s="770" t="s">
        <v>141</v>
      </c>
      <c r="G14" s="770" t="s">
        <v>101</v>
      </c>
      <c r="H14" s="770" t="s">
        <v>790</v>
      </c>
      <c r="I14" s="697" t="s">
        <v>71</v>
      </c>
      <c r="J14" s="697"/>
      <c r="K14" s="697"/>
      <c r="L14" s="697" t="s">
        <v>72</v>
      </c>
      <c r="M14" s="697"/>
      <c r="N14" s="697"/>
      <c r="O14" s="697" t="s">
        <v>73</v>
      </c>
      <c r="P14" s="697"/>
      <c r="Q14" s="697"/>
      <c r="R14" s="697" t="s">
        <v>74</v>
      </c>
      <c r="S14" s="697"/>
      <c r="T14" s="697"/>
      <c r="U14" s="770" t="s">
        <v>75</v>
      </c>
      <c r="V14" s="770" t="s">
        <v>143</v>
      </c>
    </row>
    <row r="15" spans="1:22" s="53" customFormat="1" ht="32.25" customHeight="1">
      <c r="A15" s="770"/>
      <c r="B15" s="770"/>
      <c r="C15" s="770"/>
      <c r="D15" s="770"/>
      <c r="E15" s="709"/>
      <c r="F15" s="770"/>
      <c r="G15" s="770"/>
      <c r="H15" s="770"/>
      <c r="I15" s="51" t="s">
        <v>79</v>
      </c>
      <c r="J15" s="51" t="s">
        <v>80</v>
      </c>
      <c r="K15" s="51" t="s">
        <v>81</v>
      </c>
      <c r="L15" s="51" t="s">
        <v>82</v>
      </c>
      <c r="M15" s="51" t="s">
        <v>83</v>
      </c>
      <c r="N15" s="51" t="s">
        <v>84</v>
      </c>
      <c r="O15" s="51" t="s">
        <v>85</v>
      </c>
      <c r="P15" s="51" t="s">
        <v>86</v>
      </c>
      <c r="Q15" s="51" t="s">
        <v>87</v>
      </c>
      <c r="R15" s="51" t="s">
        <v>88</v>
      </c>
      <c r="S15" s="51" t="s">
        <v>89</v>
      </c>
      <c r="T15" s="51" t="s">
        <v>90</v>
      </c>
      <c r="U15" s="770"/>
      <c r="V15" s="770"/>
    </row>
    <row r="16" spans="1:22" ht="30" customHeight="1">
      <c r="A16" s="881" t="s">
        <v>741</v>
      </c>
      <c r="B16" s="881" t="s">
        <v>747</v>
      </c>
      <c r="C16" s="882" t="s">
        <v>298</v>
      </c>
      <c r="D16" s="159" t="s">
        <v>791</v>
      </c>
      <c r="E16" s="159" t="s">
        <v>792</v>
      </c>
      <c r="F16" s="213" t="s">
        <v>793</v>
      </c>
      <c r="G16" s="213" t="s">
        <v>794</v>
      </c>
      <c r="H16" s="213" t="s">
        <v>794</v>
      </c>
      <c r="I16" s="213">
        <v>0</v>
      </c>
      <c r="J16" s="213">
        <v>0</v>
      </c>
      <c r="K16" s="322">
        <v>650000</v>
      </c>
      <c r="L16" s="322">
        <v>1025000</v>
      </c>
      <c r="M16" s="213">
        <v>0</v>
      </c>
      <c r="N16" s="213">
        <v>0</v>
      </c>
      <c r="O16" s="322">
        <v>450000</v>
      </c>
      <c r="P16" s="213">
        <v>0</v>
      </c>
      <c r="Q16" s="213">
        <v>0</v>
      </c>
      <c r="R16" s="213">
        <v>0</v>
      </c>
      <c r="S16" s="213">
        <v>0</v>
      </c>
      <c r="T16" s="213">
        <v>0</v>
      </c>
      <c r="U16" s="324">
        <v>1625000</v>
      </c>
      <c r="V16" s="883" t="s">
        <v>834</v>
      </c>
    </row>
    <row r="17" spans="1:57" ht="22.5" customHeight="1">
      <c r="A17" s="881"/>
      <c r="B17" s="881"/>
      <c r="C17" s="882"/>
      <c r="D17" s="159" t="s">
        <v>795</v>
      </c>
      <c r="E17" s="159" t="s">
        <v>146</v>
      </c>
      <c r="F17" s="213" t="s">
        <v>150</v>
      </c>
      <c r="G17" s="213" t="s">
        <v>794</v>
      </c>
      <c r="H17" s="213" t="s">
        <v>794</v>
      </c>
      <c r="I17" s="213">
        <v>0</v>
      </c>
      <c r="J17" s="213">
        <v>0</v>
      </c>
      <c r="K17" s="322">
        <v>50000</v>
      </c>
      <c r="L17" s="322">
        <v>75000</v>
      </c>
      <c r="M17" s="213">
        <v>0</v>
      </c>
      <c r="N17" s="213">
        <v>0</v>
      </c>
      <c r="O17" s="322">
        <v>50000</v>
      </c>
      <c r="P17" s="213">
        <v>0</v>
      </c>
      <c r="Q17" s="213">
        <v>0</v>
      </c>
      <c r="R17" s="213">
        <v>0</v>
      </c>
      <c r="S17" s="213">
        <v>0</v>
      </c>
      <c r="T17" s="213">
        <v>0</v>
      </c>
      <c r="U17" s="324">
        <f t="shared" ref="U17:U22" si="0">SUM(I17:T17)</f>
        <v>175000</v>
      </c>
      <c r="V17" s="884"/>
    </row>
    <row r="18" spans="1:57" ht="28.5">
      <c r="A18" s="325" t="s">
        <v>759</v>
      </c>
      <c r="B18" s="165" t="s">
        <v>762</v>
      </c>
      <c r="C18" s="326" t="s">
        <v>298</v>
      </c>
      <c r="D18" s="163" t="s">
        <v>796</v>
      </c>
      <c r="E18" s="163" t="s">
        <v>146</v>
      </c>
      <c r="F18" s="163" t="s">
        <v>150</v>
      </c>
      <c r="G18" s="320">
        <v>30</v>
      </c>
      <c r="H18" s="327">
        <v>550</v>
      </c>
      <c r="I18" s="332">
        <v>0</v>
      </c>
      <c r="J18" s="332">
        <v>0</v>
      </c>
      <c r="K18" s="332">
        <v>0</v>
      </c>
      <c r="L18" s="332">
        <v>0</v>
      </c>
      <c r="M18" s="327">
        <f>G18*H18</f>
        <v>16500</v>
      </c>
      <c r="N18" s="332">
        <v>0</v>
      </c>
      <c r="O18" s="332">
        <v>0</v>
      </c>
      <c r="P18" s="332">
        <v>0</v>
      </c>
      <c r="Q18" s="332">
        <v>0</v>
      </c>
      <c r="R18" s="332">
        <v>0</v>
      </c>
      <c r="S18" s="332">
        <v>0</v>
      </c>
      <c r="T18" s="332">
        <v>0</v>
      </c>
      <c r="U18" s="329">
        <f>SUM(I18:T18)</f>
        <v>16500</v>
      </c>
      <c r="V18" s="163"/>
    </row>
    <row r="19" spans="1:57" s="33" customFormat="1" ht="45" customHeight="1">
      <c r="A19" s="881" t="s">
        <v>764</v>
      </c>
      <c r="B19" s="885" t="s">
        <v>770</v>
      </c>
      <c r="C19" s="883" t="s">
        <v>298</v>
      </c>
      <c r="D19" s="159" t="s">
        <v>797</v>
      </c>
      <c r="E19" s="159" t="s">
        <v>8</v>
      </c>
      <c r="F19" s="159" t="s">
        <v>798</v>
      </c>
      <c r="G19" s="330">
        <v>1</v>
      </c>
      <c r="H19" s="322">
        <v>11600000</v>
      </c>
      <c r="I19" s="213">
        <v>0</v>
      </c>
      <c r="J19" s="213">
        <v>0</v>
      </c>
      <c r="K19" s="213">
        <v>0</v>
      </c>
      <c r="L19" s="213">
        <v>0</v>
      </c>
      <c r="M19" s="213">
        <v>0</v>
      </c>
      <c r="N19" s="322">
        <v>11600000</v>
      </c>
      <c r="O19" s="213">
        <v>0</v>
      </c>
      <c r="P19" s="213">
        <v>0</v>
      </c>
      <c r="Q19" s="213">
        <v>0</v>
      </c>
      <c r="R19" s="213">
        <v>0</v>
      </c>
      <c r="S19" s="213">
        <v>0</v>
      </c>
      <c r="T19" s="213">
        <v>0</v>
      </c>
      <c r="U19" s="339">
        <v>0</v>
      </c>
      <c r="V19" s="887" t="s">
        <v>833</v>
      </c>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331"/>
    </row>
    <row r="20" spans="1:57" s="33" customFormat="1" ht="42.75">
      <c r="A20" s="881"/>
      <c r="B20" s="886"/>
      <c r="C20" s="884"/>
      <c r="D20" s="159" t="s">
        <v>799</v>
      </c>
      <c r="E20" s="159" t="s">
        <v>443</v>
      </c>
      <c r="F20" s="159" t="s">
        <v>590</v>
      </c>
      <c r="G20" s="330">
        <v>300</v>
      </c>
      <c r="H20" s="322">
        <v>1000</v>
      </c>
      <c r="I20" s="213">
        <v>0</v>
      </c>
      <c r="J20" s="213">
        <v>0</v>
      </c>
      <c r="K20" s="213">
        <v>0</v>
      </c>
      <c r="L20" s="213">
        <v>0</v>
      </c>
      <c r="M20" s="213">
        <v>0</v>
      </c>
      <c r="N20" s="213">
        <v>0</v>
      </c>
      <c r="O20" s="213">
        <v>0</v>
      </c>
      <c r="P20" s="213">
        <v>0</v>
      </c>
      <c r="Q20" s="213">
        <v>0</v>
      </c>
      <c r="R20" s="213">
        <v>0</v>
      </c>
      <c r="S20" s="322">
        <f>+G20*H20</f>
        <v>300000</v>
      </c>
      <c r="T20" s="213">
        <v>0</v>
      </c>
      <c r="U20" s="324">
        <f>SUM(I20:T20)</f>
        <v>300000</v>
      </c>
      <c r="V20" s="888"/>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331"/>
    </row>
    <row r="21" spans="1:57" ht="15" customHeight="1">
      <c r="A21" s="889" t="s">
        <v>771</v>
      </c>
      <c r="B21" s="889" t="s">
        <v>774</v>
      </c>
      <c r="C21" s="890" t="s">
        <v>298</v>
      </c>
      <c r="D21" s="332" t="s">
        <v>800</v>
      </c>
      <c r="E21" s="332" t="s">
        <v>443</v>
      </c>
      <c r="F21" s="332" t="s">
        <v>150</v>
      </c>
      <c r="G21" s="320">
        <v>120</v>
      </c>
      <c r="H21" s="327">
        <v>800</v>
      </c>
      <c r="I21" s="332">
        <v>0</v>
      </c>
      <c r="J21" s="332">
        <v>0</v>
      </c>
      <c r="K21" s="327">
        <f>+H21*30</f>
        <v>24000</v>
      </c>
      <c r="L21" s="332">
        <v>0</v>
      </c>
      <c r="M21" s="332">
        <v>0</v>
      </c>
      <c r="N21" s="327">
        <f>+H21*30</f>
        <v>24000</v>
      </c>
      <c r="O21" s="332">
        <v>0</v>
      </c>
      <c r="P21" s="332">
        <v>0</v>
      </c>
      <c r="Q21" s="327">
        <f>+H21*30</f>
        <v>24000</v>
      </c>
      <c r="R21" s="332">
        <v>0</v>
      </c>
      <c r="S21" s="332">
        <v>0</v>
      </c>
      <c r="T21" s="327">
        <f>+H21*30</f>
        <v>24000</v>
      </c>
      <c r="U21" s="329">
        <f>SUM(I21:T21)</f>
        <v>96000</v>
      </c>
      <c r="V21" s="893"/>
    </row>
    <row r="22" spans="1:57" ht="15" customHeight="1">
      <c r="A22" s="889"/>
      <c r="B22" s="889"/>
      <c r="C22" s="891"/>
      <c r="D22" s="332" t="s">
        <v>588</v>
      </c>
      <c r="E22" s="332" t="s">
        <v>146</v>
      </c>
      <c r="F22" s="332" t="s">
        <v>150</v>
      </c>
      <c r="G22" s="320">
        <v>25</v>
      </c>
      <c r="H22" s="327">
        <v>450</v>
      </c>
      <c r="I22" s="332">
        <v>0</v>
      </c>
      <c r="J22" s="332">
        <v>0</v>
      </c>
      <c r="K22" s="332">
        <v>0</v>
      </c>
      <c r="L22" s="332">
        <v>0</v>
      </c>
      <c r="M22" s="332">
        <v>0</v>
      </c>
      <c r="N22" s="332">
        <v>0</v>
      </c>
      <c r="O22" s="332">
        <v>0</v>
      </c>
      <c r="P22" s="332">
        <v>0</v>
      </c>
      <c r="Q22" s="332">
        <v>0</v>
      </c>
      <c r="R22" s="332">
        <v>0</v>
      </c>
      <c r="S22" s="332">
        <v>0</v>
      </c>
      <c r="T22" s="327">
        <f>+G22*H22</f>
        <v>11250</v>
      </c>
      <c r="U22" s="329">
        <f t="shared" si="0"/>
        <v>11250</v>
      </c>
      <c r="V22" s="894"/>
    </row>
    <row r="23" spans="1:57" ht="14.25">
      <c r="A23" s="889"/>
      <c r="B23" s="889"/>
      <c r="C23" s="891"/>
      <c r="D23" s="332" t="s">
        <v>801</v>
      </c>
      <c r="E23" s="332" t="s">
        <v>443</v>
      </c>
      <c r="F23" s="332" t="s">
        <v>150</v>
      </c>
      <c r="G23" s="320">
        <v>1</v>
      </c>
      <c r="H23" s="327"/>
      <c r="I23" s="332">
        <v>0</v>
      </c>
      <c r="J23" s="332">
        <v>0</v>
      </c>
      <c r="K23" s="332">
        <v>0</v>
      </c>
      <c r="L23" s="332">
        <v>0</v>
      </c>
      <c r="M23" s="332">
        <v>0</v>
      </c>
      <c r="N23" s="332">
        <v>0</v>
      </c>
      <c r="O23" s="332">
        <v>0</v>
      </c>
      <c r="P23" s="332">
        <v>0</v>
      </c>
      <c r="Q23" s="332">
        <v>0</v>
      </c>
      <c r="R23" s="332">
        <v>0</v>
      </c>
      <c r="S23" s="332">
        <v>0</v>
      </c>
      <c r="T23" s="327">
        <v>6000</v>
      </c>
      <c r="U23" s="329">
        <f>SUM(I23:T23)</f>
        <v>6000</v>
      </c>
      <c r="V23" s="894"/>
    </row>
    <row r="24" spans="1:57" ht="39" customHeight="1">
      <c r="A24" s="889"/>
      <c r="B24" s="165" t="s">
        <v>777</v>
      </c>
      <c r="C24" s="892"/>
      <c r="D24" s="332" t="s">
        <v>802</v>
      </c>
      <c r="E24" s="332" t="s">
        <v>443</v>
      </c>
      <c r="F24" s="332" t="s">
        <v>304</v>
      </c>
      <c r="G24" s="320" t="s">
        <v>304</v>
      </c>
      <c r="H24" s="327">
        <v>25000</v>
      </c>
      <c r="I24" s="332">
        <v>0</v>
      </c>
      <c r="J24" s="332">
        <v>0</v>
      </c>
      <c r="K24" s="327">
        <v>25000</v>
      </c>
      <c r="L24" s="332">
        <v>0</v>
      </c>
      <c r="M24" s="332">
        <v>0</v>
      </c>
      <c r="N24" s="327">
        <v>25000</v>
      </c>
      <c r="O24" s="332">
        <v>0</v>
      </c>
      <c r="P24" s="332">
        <v>0</v>
      </c>
      <c r="Q24" s="327">
        <v>25000</v>
      </c>
      <c r="R24" s="332">
        <v>0</v>
      </c>
      <c r="S24" s="327">
        <v>25000</v>
      </c>
      <c r="T24" s="332">
        <v>0</v>
      </c>
      <c r="U24" s="329">
        <f>SUM(I24:T24)</f>
        <v>100000</v>
      </c>
      <c r="V24" s="895"/>
    </row>
    <row r="25" spans="1:57">
      <c r="A25" s="881" t="s">
        <v>778</v>
      </c>
      <c r="B25" s="885" t="s">
        <v>781</v>
      </c>
      <c r="C25" s="883" t="s">
        <v>298</v>
      </c>
      <c r="D25" s="159" t="s">
        <v>803</v>
      </c>
      <c r="E25" s="159" t="s">
        <v>149</v>
      </c>
      <c r="F25" s="159">
        <v>1</v>
      </c>
      <c r="G25" s="159">
        <v>40</v>
      </c>
      <c r="H25" s="322">
        <v>2000</v>
      </c>
      <c r="I25" s="213">
        <v>0</v>
      </c>
      <c r="J25" s="213">
        <v>0</v>
      </c>
      <c r="K25" s="168">
        <f>G25*H25</f>
        <v>80000</v>
      </c>
      <c r="L25" s="339">
        <v>0</v>
      </c>
      <c r="M25" s="339">
        <v>0</v>
      </c>
      <c r="N25" s="339">
        <v>0</v>
      </c>
      <c r="O25" s="339">
        <v>0</v>
      </c>
      <c r="P25" s="339">
        <v>0</v>
      </c>
      <c r="Q25" s="339">
        <v>0</v>
      </c>
      <c r="R25" s="339">
        <v>0</v>
      </c>
      <c r="S25" s="339">
        <v>0</v>
      </c>
      <c r="T25" s="339">
        <v>0</v>
      </c>
      <c r="U25" s="324">
        <f>SUM(I25:T25)</f>
        <v>80000</v>
      </c>
      <c r="V25" s="900" t="s">
        <v>1126</v>
      </c>
      <c r="W25" s="340"/>
    </row>
    <row r="26" spans="1:57">
      <c r="A26" s="881"/>
      <c r="B26" s="886"/>
      <c r="C26" s="898"/>
      <c r="D26" s="159" t="s">
        <v>804</v>
      </c>
      <c r="E26" s="159" t="s">
        <v>201</v>
      </c>
      <c r="F26" s="159"/>
      <c r="G26" s="159">
        <v>40</v>
      </c>
      <c r="H26" s="322">
        <v>800</v>
      </c>
      <c r="I26" s="213">
        <v>0</v>
      </c>
      <c r="J26" s="213">
        <v>0</v>
      </c>
      <c r="K26" s="322">
        <f>G26*H26</f>
        <v>32000</v>
      </c>
      <c r="L26" s="339">
        <v>0</v>
      </c>
      <c r="M26" s="339">
        <v>0</v>
      </c>
      <c r="N26" s="339">
        <v>0</v>
      </c>
      <c r="O26" s="339">
        <v>0</v>
      </c>
      <c r="P26" s="339">
        <v>0</v>
      </c>
      <c r="Q26" s="339">
        <v>0</v>
      </c>
      <c r="R26" s="339">
        <v>0</v>
      </c>
      <c r="S26" s="339">
        <v>0</v>
      </c>
      <c r="T26" s="339">
        <v>0</v>
      </c>
      <c r="U26" s="324">
        <f t="shared" ref="U26:U41" si="1">SUM(I26:T26)</f>
        <v>32000</v>
      </c>
      <c r="V26" s="901"/>
      <c r="W26" s="340"/>
    </row>
    <row r="27" spans="1:57" ht="14.25">
      <c r="A27" s="881"/>
      <c r="B27" s="885" t="s">
        <v>782</v>
      </c>
      <c r="C27" s="898"/>
      <c r="D27" s="159" t="s">
        <v>805</v>
      </c>
      <c r="E27" s="159" t="s">
        <v>644</v>
      </c>
      <c r="F27" s="159">
        <v>1</v>
      </c>
      <c r="G27" s="330">
        <v>200</v>
      </c>
      <c r="H27" s="168">
        <v>1000</v>
      </c>
      <c r="I27" s="339">
        <v>0</v>
      </c>
      <c r="J27" s="339">
        <v>0</v>
      </c>
      <c r="K27" s="339">
        <v>0</v>
      </c>
      <c r="L27" s="339">
        <v>0</v>
      </c>
      <c r="M27" s="322">
        <f>G27*H27</f>
        <v>200000</v>
      </c>
      <c r="N27" s="339">
        <v>0</v>
      </c>
      <c r="O27" s="339">
        <v>0</v>
      </c>
      <c r="P27" s="339">
        <v>0</v>
      </c>
      <c r="Q27" s="339">
        <v>0</v>
      </c>
      <c r="R27" s="339">
        <v>0</v>
      </c>
      <c r="S27" s="339">
        <v>0</v>
      </c>
      <c r="T27" s="339">
        <v>0</v>
      </c>
      <c r="U27" s="324">
        <f t="shared" si="1"/>
        <v>200000</v>
      </c>
      <c r="V27" s="901"/>
      <c r="W27" s="333"/>
    </row>
    <row r="28" spans="1:57" ht="28.5">
      <c r="A28" s="881"/>
      <c r="B28" s="886"/>
      <c r="C28" s="898"/>
      <c r="D28" s="159" t="s">
        <v>806</v>
      </c>
      <c r="E28" s="159" t="s">
        <v>443</v>
      </c>
      <c r="F28" s="159" t="s">
        <v>304</v>
      </c>
      <c r="G28" s="159" t="s">
        <v>304</v>
      </c>
      <c r="H28" s="168">
        <v>5000</v>
      </c>
      <c r="I28" s="339">
        <v>0</v>
      </c>
      <c r="J28" s="339">
        <v>0</v>
      </c>
      <c r="K28" s="339">
        <v>0</v>
      </c>
      <c r="L28" s="339">
        <v>0</v>
      </c>
      <c r="M28" s="323">
        <f>H28</f>
        <v>5000</v>
      </c>
      <c r="N28" s="339">
        <v>0</v>
      </c>
      <c r="O28" s="339">
        <v>0</v>
      </c>
      <c r="P28" s="339">
        <v>0</v>
      </c>
      <c r="Q28" s="339">
        <v>0</v>
      </c>
      <c r="R28" s="339">
        <v>0</v>
      </c>
      <c r="S28" s="339">
        <v>0</v>
      </c>
      <c r="T28" s="339">
        <v>0</v>
      </c>
      <c r="U28" s="324">
        <f t="shared" si="1"/>
        <v>5000</v>
      </c>
      <c r="V28" s="901"/>
    </row>
    <row r="29" spans="1:57" ht="28.5">
      <c r="A29" s="881"/>
      <c r="B29" s="881" t="s">
        <v>783</v>
      </c>
      <c r="C29" s="898"/>
      <c r="D29" s="159" t="s">
        <v>806</v>
      </c>
      <c r="E29" s="159" t="s">
        <v>443</v>
      </c>
      <c r="F29" s="159" t="s">
        <v>304</v>
      </c>
      <c r="G29" s="159" t="s">
        <v>304</v>
      </c>
      <c r="H29" s="168">
        <v>5000</v>
      </c>
      <c r="I29" s="339">
        <v>0</v>
      </c>
      <c r="J29" s="339">
        <v>0</v>
      </c>
      <c r="K29" s="339">
        <v>0</v>
      </c>
      <c r="L29" s="339">
        <v>0</v>
      </c>
      <c r="M29" s="339">
        <v>0</v>
      </c>
      <c r="N29" s="339">
        <v>0</v>
      </c>
      <c r="O29" s="323">
        <f>H29</f>
        <v>5000</v>
      </c>
      <c r="P29" s="339">
        <v>0</v>
      </c>
      <c r="Q29" s="339">
        <v>0</v>
      </c>
      <c r="R29" s="339">
        <v>0</v>
      </c>
      <c r="S29" s="339">
        <v>0</v>
      </c>
      <c r="T29" s="339">
        <v>0</v>
      </c>
      <c r="U29" s="324">
        <f t="shared" si="1"/>
        <v>5000</v>
      </c>
      <c r="V29" s="901"/>
    </row>
    <row r="30" spans="1:57" ht="14.25">
      <c r="A30" s="881"/>
      <c r="B30" s="881"/>
      <c r="C30" s="898"/>
      <c r="D30" s="159" t="s">
        <v>807</v>
      </c>
      <c r="E30" s="159" t="s">
        <v>201</v>
      </c>
      <c r="F30" s="159" t="s">
        <v>150</v>
      </c>
      <c r="G30" s="330">
        <v>1</v>
      </c>
      <c r="H30" s="168">
        <v>3000</v>
      </c>
      <c r="I30" s="339">
        <v>0</v>
      </c>
      <c r="J30" s="339">
        <v>0</v>
      </c>
      <c r="K30" s="339">
        <v>0</v>
      </c>
      <c r="L30" s="339">
        <v>0</v>
      </c>
      <c r="M30" s="339">
        <v>0</v>
      </c>
      <c r="N30" s="323">
        <f t="shared" ref="N30:N31" si="2">G30*H30</f>
        <v>3000</v>
      </c>
      <c r="O30" s="339">
        <v>0</v>
      </c>
      <c r="P30" s="339">
        <v>0</v>
      </c>
      <c r="Q30" s="339">
        <v>0</v>
      </c>
      <c r="R30" s="339">
        <v>0</v>
      </c>
      <c r="S30" s="339">
        <v>0</v>
      </c>
      <c r="T30" s="339">
        <v>0</v>
      </c>
      <c r="U30" s="324">
        <f t="shared" si="1"/>
        <v>3000</v>
      </c>
      <c r="V30" s="901"/>
    </row>
    <row r="31" spans="1:57" ht="14.25">
      <c r="A31" s="881"/>
      <c r="B31" s="881"/>
      <c r="C31" s="898"/>
      <c r="D31" s="159" t="s">
        <v>808</v>
      </c>
      <c r="E31" s="159" t="s">
        <v>482</v>
      </c>
      <c r="F31" s="159" t="s">
        <v>304</v>
      </c>
      <c r="G31" s="330">
        <v>150</v>
      </c>
      <c r="H31" s="168">
        <v>700</v>
      </c>
      <c r="I31" s="339">
        <v>0</v>
      </c>
      <c r="J31" s="339">
        <v>0</v>
      </c>
      <c r="K31" s="339">
        <v>0</v>
      </c>
      <c r="L31" s="339">
        <v>0</v>
      </c>
      <c r="M31" s="339">
        <v>0</v>
      </c>
      <c r="N31" s="322">
        <f t="shared" si="2"/>
        <v>105000</v>
      </c>
      <c r="O31" s="339">
        <v>0</v>
      </c>
      <c r="P31" s="339">
        <v>0</v>
      </c>
      <c r="Q31" s="339">
        <v>0</v>
      </c>
      <c r="R31" s="339">
        <v>0</v>
      </c>
      <c r="S31" s="339">
        <v>0</v>
      </c>
      <c r="T31" s="339">
        <v>0</v>
      </c>
      <c r="U31" s="324">
        <f t="shared" si="1"/>
        <v>105000</v>
      </c>
      <c r="V31" s="901"/>
    </row>
    <row r="32" spans="1:57" ht="14.25">
      <c r="A32" s="881"/>
      <c r="B32" s="881" t="s">
        <v>1298</v>
      </c>
      <c r="C32" s="898"/>
      <c r="D32" s="159" t="s">
        <v>809</v>
      </c>
      <c r="E32" s="159" t="s">
        <v>482</v>
      </c>
      <c r="F32" s="159" t="s">
        <v>150</v>
      </c>
      <c r="G32" s="330">
        <v>50</v>
      </c>
      <c r="H32" s="168">
        <v>800</v>
      </c>
      <c r="I32" s="339">
        <v>0</v>
      </c>
      <c r="J32" s="339">
        <v>0</v>
      </c>
      <c r="K32" s="339">
        <v>0</v>
      </c>
      <c r="L32" s="339">
        <v>0</v>
      </c>
      <c r="M32" s="339">
        <v>0</v>
      </c>
      <c r="N32" s="339">
        <v>0</v>
      </c>
      <c r="O32" s="323">
        <f>H32*G32</f>
        <v>40000</v>
      </c>
      <c r="P32" s="339">
        <v>0</v>
      </c>
      <c r="Q32" s="339">
        <v>0</v>
      </c>
      <c r="R32" s="339">
        <v>0</v>
      </c>
      <c r="S32" s="339">
        <v>0</v>
      </c>
      <c r="T32" s="339">
        <v>0</v>
      </c>
      <c r="U32" s="324">
        <f t="shared" si="1"/>
        <v>40000</v>
      </c>
      <c r="V32" s="901"/>
    </row>
    <row r="33" spans="1:22" ht="14.25">
      <c r="A33" s="881"/>
      <c r="B33" s="881"/>
      <c r="C33" s="898"/>
      <c r="D33" s="159" t="s">
        <v>810</v>
      </c>
      <c r="E33" s="159" t="s">
        <v>443</v>
      </c>
      <c r="F33" s="159" t="s">
        <v>304</v>
      </c>
      <c r="G33" s="159" t="s">
        <v>304</v>
      </c>
      <c r="H33" s="168">
        <v>10000</v>
      </c>
      <c r="I33" s="339">
        <v>0</v>
      </c>
      <c r="J33" s="339">
        <v>0</v>
      </c>
      <c r="K33" s="339">
        <v>0</v>
      </c>
      <c r="L33" s="339">
        <v>0</v>
      </c>
      <c r="M33" s="339">
        <v>0</v>
      </c>
      <c r="N33" s="339">
        <v>0</v>
      </c>
      <c r="O33" s="323">
        <v>10000</v>
      </c>
      <c r="P33" s="339">
        <v>0</v>
      </c>
      <c r="Q33" s="339">
        <v>0</v>
      </c>
      <c r="R33" s="339">
        <v>0</v>
      </c>
      <c r="S33" s="339">
        <v>0</v>
      </c>
      <c r="T33" s="339">
        <v>0</v>
      </c>
      <c r="U33" s="324">
        <f t="shared" si="1"/>
        <v>10000</v>
      </c>
      <c r="V33" s="901"/>
    </row>
    <row r="34" spans="1:22" ht="14.25">
      <c r="A34" s="881"/>
      <c r="B34" s="881"/>
      <c r="C34" s="898"/>
      <c r="D34" s="159" t="s">
        <v>811</v>
      </c>
      <c r="E34" s="159" t="s">
        <v>146</v>
      </c>
      <c r="F34" s="159" t="s">
        <v>150</v>
      </c>
      <c r="G34" s="330">
        <v>50</v>
      </c>
      <c r="H34" s="168">
        <v>800</v>
      </c>
      <c r="I34" s="339">
        <v>0</v>
      </c>
      <c r="J34" s="339">
        <v>0</v>
      </c>
      <c r="K34" s="339">
        <v>0</v>
      </c>
      <c r="L34" s="339">
        <v>0</v>
      </c>
      <c r="M34" s="339">
        <v>0</v>
      </c>
      <c r="N34" s="339">
        <v>0</v>
      </c>
      <c r="O34" s="323">
        <f>G34*H34</f>
        <v>40000</v>
      </c>
      <c r="P34" s="339">
        <v>0</v>
      </c>
      <c r="Q34" s="339">
        <v>0</v>
      </c>
      <c r="R34" s="339">
        <v>0</v>
      </c>
      <c r="S34" s="339">
        <v>0</v>
      </c>
      <c r="T34" s="339">
        <v>0</v>
      </c>
      <c r="U34" s="324">
        <f t="shared" si="1"/>
        <v>40000</v>
      </c>
      <c r="V34" s="901"/>
    </row>
    <row r="35" spans="1:22" ht="14.25">
      <c r="A35" s="881"/>
      <c r="B35" s="881"/>
      <c r="C35" s="898"/>
      <c r="D35" s="159" t="s">
        <v>812</v>
      </c>
      <c r="E35" s="159" t="s">
        <v>443</v>
      </c>
      <c r="F35" s="159" t="s">
        <v>304</v>
      </c>
      <c r="G35" s="330" t="s">
        <v>304</v>
      </c>
      <c r="H35" s="168">
        <v>15000</v>
      </c>
      <c r="I35" s="339">
        <v>0</v>
      </c>
      <c r="J35" s="339">
        <v>0</v>
      </c>
      <c r="K35" s="339">
        <v>0</v>
      </c>
      <c r="L35" s="339">
        <v>0</v>
      </c>
      <c r="M35" s="339">
        <v>0</v>
      </c>
      <c r="N35" s="339">
        <v>0</v>
      </c>
      <c r="O35" s="323">
        <v>15000</v>
      </c>
      <c r="P35" s="339">
        <v>0</v>
      </c>
      <c r="Q35" s="339">
        <v>0</v>
      </c>
      <c r="R35" s="339">
        <v>0</v>
      </c>
      <c r="S35" s="339">
        <v>0</v>
      </c>
      <c r="T35" s="339">
        <v>0</v>
      </c>
      <c r="U35" s="324">
        <f t="shared" si="1"/>
        <v>15000</v>
      </c>
      <c r="V35" s="901"/>
    </row>
    <row r="36" spans="1:22" ht="14.25">
      <c r="A36" s="881"/>
      <c r="B36" s="881" t="s">
        <v>1299</v>
      </c>
      <c r="C36" s="898"/>
      <c r="D36" s="159" t="s">
        <v>796</v>
      </c>
      <c r="E36" s="159" t="s">
        <v>146</v>
      </c>
      <c r="F36" s="159" t="s">
        <v>304</v>
      </c>
      <c r="G36" s="330">
        <v>150</v>
      </c>
      <c r="H36" s="168">
        <v>1000</v>
      </c>
      <c r="I36" s="339">
        <v>0</v>
      </c>
      <c r="J36" s="339">
        <v>0</v>
      </c>
      <c r="K36" s="339">
        <v>0</v>
      </c>
      <c r="L36" s="339">
        <v>0</v>
      </c>
      <c r="M36" s="339">
        <v>0</v>
      </c>
      <c r="N36" s="339">
        <v>0</v>
      </c>
      <c r="O36" s="322">
        <f>+G36*H36</f>
        <v>150000</v>
      </c>
      <c r="P36" s="339">
        <v>0</v>
      </c>
      <c r="Q36" s="339">
        <v>0</v>
      </c>
      <c r="R36" s="339">
        <v>0</v>
      </c>
      <c r="S36" s="339">
        <v>0</v>
      </c>
      <c r="T36" s="339">
        <v>0</v>
      </c>
      <c r="U36" s="324">
        <f t="shared" si="1"/>
        <v>150000</v>
      </c>
      <c r="V36" s="901"/>
    </row>
    <row r="37" spans="1:22" ht="14.25">
      <c r="A37" s="881"/>
      <c r="B37" s="881"/>
      <c r="C37" s="898"/>
      <c r="D37" s="159" t="s">
        <v>813</v>
      </c>
      <c r="E37" s="159" t="s">
        <v>484</v>
      </c>
      <c r="F37" s="159">
        <v>1</v>
      </c>
      <c r="G37" s="330">
        <v>405</v>
      </c>
      <c r="H37" s="168">
        <v>1180</v>
      </c>
      <c r="I37" s="339">
        <v>0</v>
      </c>
      <c r="J37" s="339">
        <v>0</v>
      </c>
      <c r="K37" s="339">
        <v>0</v>
      </c>
      <c r="L37" s="339">
        <v>0</v>
      </c>
      <c r="M37" s="339">
        <v>0</v>
      </c>
      <c r="N37" s="322">
        <f>G37*H37</f>
        <v>477900</v>
      </c>
      <c r="O37" s="339">
        <v>0</v>
      </c>
      <c r="P37" s="339">
        <v>0</v>
      </c>
      <c r="Q37" s="339">
        <v>0</v>
      </c>
      <c r="R37" s="339">
        <v>0</v>
      </c>
      <c r="S37" s="339">
        <v>0</v>
      </c>
      <c r="T37" s="339">
        <v>0</v>
      </c>
      <c r="U37" s="323">
        <v>95000</v>
      </c>
      <c r="V37" s="901"/>
    </row>
    <row r="38" spans="1:22" ht="14.25">
      <c r="A38" s="881"/>
      <c r="B38" s="881" t="s">
        <v>784</v>
      </c>
      <c r="C38" s="898"/>
      <c r="D38" s="159" t="s">
        <v>814</v>
      </c>
      <c r="E38" s="159" t="s">
        <v>146</v>
      </c>
      <c r="F38" s="159" t="s">
        <v>815</v>
      </c>
      <c r="G38" s="330">
        <v>200</v>
      </c>
      <c r="H38" s="168">
        <v>600</v>
      </c>
      <c r="I38" s="339">
        <v>0</v>
      </c>
      <c r="J38" s="339">
        <v>0</v>
      </c>
      <c r="K38" s="339">
        <v>0</v>
      </c>
      <c r="L38" s="339">
        <v>0</v>
      </c>
      <c r="M38" s="339">
        <v>0</v>
      </c>
      <c r="N38" s="339">
        <v>0</v>
      </c>
      <c r="O38" s="339">
        <v>0</v>
      </c>
      <c r="P38" s="339">
        <v>0</v>
      </c>
      <c r="Q38" s="339">
        <v>0</v>
      </c>
      <c r="R38" s="339">
        <v>0</v>
      </c>
      <c r="S38" s="323">
        <f>+G38*H38</f>
        <v>120000</v>
      </c>
      <c r="T38" s="339">
        <v>0</v>
      </c>
      <c r="U38" s="324">
        <f t="shared" si="1"/>
        <v>120000</v>
      </c>
      <c r="V38" s="901"/>
    </row>
    <row r="39" spans="1:22" ht="14.25">
      <c r="A39" s="881"/>
      <c r="B39" s="881"/>
      <c r="C39" s="898"/>
      <c r="D39" s="159" t="s">
        <v>816</v>
      </c>
      <c r="E39" s="159" t="s">
        <v>482</v>
      </c>
      <c r="F39" s="159" t="s">
        <v>150</v>
      </c>
      <c r="G39" s="330">
        <v>200</v>
      </c>
      <c r="H39" s="168">
        <f>20000/G39</f>
        <v>100</v>
      </c>
      <c r="I39" s="339">
        <v>0</v>
      </c>
      <c r="J39" s="339">
        <v>0</v>
      </c>
      <c r="K39" s="339">
        <v>0</v>
      </c>
      <c r="L39" s="339">
        <v>0</v>
      </c>
      <c r="M39" s="339">
        <v>0</v>
      </c>
      <c r="N39" s="339">
        <v>0</v>
      </c>
      <c r="O39" s="339">
        <v>0</v>
      </c>
      <c r="P39" s="339">
        <v>0</v>
      </c>
      <c r="Q39" s="339">
        <v>0</v>
      </c>
      <c r="R39" s="339">
        <v>0</v>
      </c>
      <c r="S39" s="323">
        <f>G39*H39</f>
        <v>20000</v>
      </c>
      <c r="T39" s="339">
        <v>0</v>
      </c>
      <c r="U39" s="324">
        <f t="shared" si="1"/>
        <v>20000</v>
      </c>
      <c r="V39" s="901"/>
    </row>
    <row r="40" spans="1:22" ht="14.25">
      <c r="A40" s="881"/>
      <c r="B40" s="881"/>
      <c r="C40" s="898"/>
      <c r="D40" s="159" t="s">
        <v>814</v>
      </c>
      <c r="E40" s="159" t="s">
        <v>146</v>
      </c>
      <c r="F40" s="159" t="s">
        <v>815</v>
      </c>
      <c r="G40" s="330">
        <v>150</v>
      </c>
      <c r="H40" s="168">
        <v>600</v>
      </c>
      <c r="I40" s="339">
        <v>0</v>
      </c>
      <c r="J40" s="339">
        <v>0</v>
      </c>
      <c r="K40" s="339">
        <v>0</v>
      </c>
      <c r="L40" s="339">
        <v>0</v>
      </c>
      <c r="M40" s="339">
        <v>0</v>
      </c>
      <c r="N40" s="339">
        <v>0</v>
      </c>
      <c r="O40" s="339">
        <v>0</v>
      </c>
      <c r="P40" s="339">
        <v>0</v>
      </c>
      <c r="Q40" s="339">
        <v>0</v>
      </c>
      <c r="R40" s="339">
        <v>0</v>
      </c>
      <c r="S40" s="339">
        <v>0</v>
      </c>
      <c r="T40" s="324">
        <f>G40*H40</f>
        <v>90000</v>
      </c>
      <c r="U40" s="324">
        <f t="shared" si="1"/>
        <v>90000</v>
      </c>
      <c r="V40" s="901"/>
    </row>
    <row r="41" spans="1:22" ht="14.25">
      <c r="A41" s="881"/>
      <c r="B41" s="881"/>
      <c r="C41" s="899"/>
      <c r="D41" s="159" t="s">
        <v>816</v>
      </c>
      <c r="E41" s="159" t="s">
        <v>482</v>
      </c>
      <c r="F41" s="159" t="s">
        <v>150</v>
      </c>
      <c r="G41" s="330">
        <v>150</v>
      </c>
      <c r="H41" s="168">
        <v>100</v>
      </c>
      <c r="I41" s="339">
        <v>0</v>
      </c>
      <c r="J41" s="339">
        <v>0</v>
      </c>
      <c r="K41" s="339">
        <v>0</v>
      </c>
      <c r="L41" s="339">
        <v>0</v>
      </c>
      <c r="M41" s="339">
        <v>0</v>
      </c>
      <c r="N41" s="339">
        <v>0</v>
      </c>
      <c r="O41" s="339">
        <v>0</v>
      </c>
      <c r="P41" s="339">
        <v>0</v>
      </c>
      <c r="Q41" s="339">
        <v>0</v>
      </c>
      <c r="R41" s="339">
        <v>0</v>
      </c>
      <c r="S41" s="339">
        <v>0</v>
      </c>
      <c r="T41" s="324">
        <f>G41*H41</f>
        <v>15000</v>
      </c>
      <c r="U41" s="324">
        <f t="shared" si="1"/>
        <v>15000</v>
      </c>
      <c r="V41" s="902"/>
    </row>
    <row r="42" spans="1:22" ht="57">
      <c r="A42" s="896" t="s">
        <v>817</v>
      </c>
      <c r="B42" s="896" t="s">
        <v>818</v>
      </c>
      <c r="C42" s="163" t="s">
        <v>819</v>
      </c>
      <c r="D42" s="332" t="s">
        <v>820</v>
      </c>
      <c r="E42" s="332" t="s">
        <v>644</v>
      </c>
      <c r="F42" s="332" t="s">
        <v>590</v>
      </c>
      <c r="G42" s="332" t="s">
        <v>821</v>
      </c>
      <c r="H42" s="327"/>
      <c r="I42" s="332">
        <v>0</v>
      </c>
      <c r="J42" s="328">
        <v>50000</v>
      </c>
      <c r="K42" s="335">
        <v>0</v>
      </c>
      <c r="L42" s="335">
        <v>0</v>
      </c>
      <c r="M42" s="335">
        <v>0</v>
      </c>
      <c r="N42" s="328">
        <v>50000</v>
      </c>
      <c r="O42" s="335">
        <v>0</v>
      </c>
      <c r="P42" s="335">
        <v>0</v>
      </c>
      <c r="Q42" s="328">
        <v>50000</v>
      </c>
      <c r="R42" s="335">
        <v>0</v>
      </c>
      <c r="S42" s="335">
        <v>0</v>
      </c>
      <c r="T42" s="328">
        <v>50000</v>
      </c>
      <c r="U42" s="329">
        <f t="shared" ref="U42:U50" si="3">SUM(I42:T42)</f>
        <v>200000</v>
      </c>
      <c r="V42" s="893"/>
    </row>
    <row r="43" spans="1:22" ht="42.75">
      <c r="A43" s="896"/>
      <c r="B43" s="896"/>
      <c r="C43" s="163" t="s">
        <v>819</v>
      </c>
      <c r="D43" s="163" t="s">
        <v>822</v>
      </c>
      <c r="E43" s="163" t="s">
        <v>443</v>
      </c>
      <c r="F43" s="163" t="s">
        <v>590</v>
      </c>
      <c r="G43" s="163" t="s">
        <v>823</v>
      </c>
      <c r="H43" s="334"/>
      <c r="I43" s="334">
        <v>15000</v>
      </c>
      <c r="J43" s="332">
        <v>0</v>
      </c>
      <c r="K43" s="332">
        <v>0</v>
      </c>
      <c r="L43" s="327">
        <v>15000</v>
      </c>
      <c r="M43" s="332">
        <v>0</v>
      </c>
      <c r="N43" s="335">
        <v>0</v>
      </c>
      <c r="O43" s="327">
        <v>15000</v>
      </c>
      <c r="P43" s="332">
        <v>0</v>
      </c>
      <c r="Q43" s="327">
        <v>15000</v>
      </c>
      <c r="R43" s="332">
        <v>0</v>
      </c>
      <c r="S43" s="332">
        <v>0</v>
      </c>
      <c r="T43" s="335">
        <v>0</v>
      </c>
      <c r="U43" s="329">
        <f t="shared" si="3"/>
        <v>60000</v>
      </c>
      <c r="V43" s="894"/>
    </row>
    <row r="44" spans="1:22" ht="28.5">
      <c r="A44" s="896"/>
      <c r="B44" s="896"/>
      <c r="C44" s="163" t="s">
        <v>819</v>
      </c>
      <c r="D44" s="163" t="s">
        <v>824</v>
      </c>
      <c r="E44" s="163" t="s">
        <v>201</v>
      </c>
      <c r="F44" s="163" t="s">
        <v>150</v>
      </c>
      <c r="G44" s="163">
        <v>400</v>
      </c>
      <c r="H44" s="334">
        <v>130</v>
      </c>
      <c r="I44" s="335">
        <v>0</v>
      </c>
      <c r="J44" s="329">
        <f>+G44*H44</f>
        <v>52000</v>
      </c>
      <c r="K44" s="335">
        <v>0</v>
      </c>
      <c r="L44" s="335">
        <v>0</v>
      </c>
      <c r="M44" s="335">
        <v>0</v>
      </c>
      <c r="N44" s="335">
        <v>0</v>
      </c>
      <c r="O44" s="335">
        <v>0</v>
      </c>
      <c r="P44" s="335">
        <v>0</v>
      </c>
      <c r="Q44" s="335">
        <v>0</v>
      </c>
      <c r="R44" s="335">
        <v>0</v>
      </c>
      <c r="S44" s="335">
        <v>0</v>
      </c>
      <c r="T44" s="335">
        <v>0</v>
      </c>
      <c r="U44" s="329">
        <f t="shared" si="3"/>
        <v>52000</v>
      </c>
      <c r="V44" s="894"/>
    </row>
    <row r="45" spans="1:22" ht="14.25">
      <c r="A45" s="896"/>
      <c r="B45" s="896"/>
      <c r="C45" s="163" t="s">
        <v>819</v>
      </c>
      <c r="D45" s="163" t="s">
        <v>825</v>
      </c>
      <c r="E45" s="163" t="s">
        <v>443</v>
      </c>
      <c r="F45" s="321" t="s">
        <v>590</v>
      </c>
      <c r="G45" s="321">
        <v>100</v>
      </c>
      <c r="H45" s="329">
        <v>200</v>
      </c>
      <c r="I45" s="335">
        <v>0</v>
      </c>
      <c r="J45" s="328">
        <f>+G45*H45</f>
        <v>20000</v>
      </c>
      <c r="K45" s="335">
        <v>0</v>
      </c>
      <c r="L45" s="335">
        <v>0</v>
      </c>
      <c r="M45" s="335">
        <v>0</v>
      </c>
      <c r="N45" s="335">
        <v>0</v>
      </c>
      <c r="O45" s="335">
        <v>0</v>
      </c>
      <c r="P45" s="335">
        <v>0</v>
      </c>
      <c r="Q45" s="335">
        <v>0</v>
      </c>
      <c r="R45" s="335">
        <v>0</v>
      </c>
      <c r="S45" s="335">
        <v>0</v>
      </c>
      <c r="T45" s="335">
        <v>0</v>
      </c>
      <c r="U45" s="329">
        <f t="shared" si="3"/>
        <v>20000</v>
      </c>
      <c r="V45" s="894"/>
    </row>
    <row r="46" spans="1:22" ht="14.25">
      <c r="A46" s="896"/>
      <c r="B46" s="896"/>
      <c r="C46" s="163" t="s">
        <v>819</v>
      </c>
      <c r="D46" s="163" t="s">
        <v>826</v>
      </c>
      <c r="E46" s="163"/>
      <c r="F46" s="163" t="s">
        <v>590</v>
      </c>
      <c r="G46" s="163">
        <v>1</v>
      </c>
      <c r="H46" s="334">
        <v>5000</v>
      </c>
      <c r="I46" s="335">
        <v>0</v>
      </c>
      <c r="J46" s="329"/>
      <c r="K46" s="329">
        <v>5000</v>
      </c>
      <c r="L46" s="335">
        <v>0</v>
      </c>
      <c r="M46" s="329"/>
      <c r="N46" s="335">
        <v>0</v>
      </c>
      <c r="O46" s="335">
        <v>0</v>
      </c>
      <c r="P46" s="335">
        <v>0</v>
      </c>
      <c r="Q46" s="335">
        <v>0</v>
      </c>
      <c r="R46" s="329"/>
      <c r="S46" s="329"/>
      <c r="T46" s="335">
        <v>0</v>
      </c>
      <c r="U46" s="329">
        <f t="shared" si="3"/>
        <v>5000</v>
      </c>
      <c r="V46" s="894"/>
    </row>
    <row r="47" spans="1:22" ht="28.5">
      <c r="A47" s="896"/>
      <c r="B47" s="896"/>
      <c r="C47" s="163" t="s">
        <v>819</v>
      </c>
      <c r="D47" s="332" t="s">
        <v>827</v>
      </c>
      <c r="E47" s="332" t="s">
        <v>219</v>
      </c>
      <c r="F47" s="332"/>
      <c r="G47" s="332">
        <v>12</v>
      </c>
      <c r="H47" s="327">
        <v>24000</v>
      </c>
      <c r="I47" s="327">
        <f t="shared" ref="I47:T47" si="4">$H$47</f>
        <v>24000</v>
      </c>
      <c r="J47" s="327">
        <f t="shared" si="4"/>
        <v>24000</v>
      </c>
      <c r="K47" s="327">
        <f t="shared" si="4"/>
        <v>24000</v>
      </c>
      <c r="L47" s="327">
        <f t="shared" si="4"/>
        <v>24000</v>
      </c>
      <c r="M47" s="327">
        <f t="shared" si="4"/>
        <v>24000</v>
      </c>
      <c r="N47" s="327">
        <f t="shared" si="4"/>
        <v>24000</v>
      </c>
      <c r="O47" s="327">
        <f t="shared" si="4"/>
        <v>24000</v>
      </c>
      <c r="P47" s="327">
        <f t="shared" si="4"/>
        <v>24000</v>
      </c>
      <c r="Q47" s="327">
        <f t="shared" si="4"/>
        <v>24000</v>
      </c>
      <c r="R47" s="327">
        <f t="shared" si="4"/>
        <v>24000</v>
      </c>
      <c r="S47" s="327">
        <f t="shared" si="4"/>
        <v>24000</v>
      </c>
      <c r="T47" s="327">
        <f t="shared" si="4"/>
        <v>24000</v>
      </c>
      <c r="U47" s="329">
        <f t="shared" si="3"/>
        <v>288000</v>
      </c>
      <c r="V47" s="894"/>
    </row>
    <row r="48" spans="1:22" ht="28.5">
      <c r="A48" s="896"/>
      <c r="B48" s="896"/>
      <c r="C48" s="163" t="s">
        <v>828</v>
      </c>
      <c r="D48" s="332" t="s">
        <v>829</v>
      </c>
      <c r="E48" s="332" t="s">
        <v>219</v>
      </c>
      <c r="F48" s="163"/>
      <c r="G48" s="335">
        <v>12</v>
      </c>
      <c r="H48" s="328">
        <v>280000</v>
      </c>
      <c r="I48" s="327">
        <f t="shared" ref="I48:T48" si="5">$H$48</f>
        <v>280000</v>
      </c>
      <c r="J48" s="327">
        <f t="shared" si="5"/>
        <v>280000</v>
      </c>
      <c r="K48" s="327">
        <f t="shared" si="5"/>
        <v>280000</v>
      </c>
      <c r="L48" s="327">
        <f t="shared" si="5"/>
        <v>280000</v>
      </c>
      <c r="M48" s="327">
        <f t="shared" si="5"/>
        <v>280000</v>
      </c>
      <c r="N48" s="327">
        <f t="shared" si="5"/>
        <v>280000</v>
      </c>
      <c r="O48" s="327">
        <f t="shared" si="5"/>
        <v>280000</v>
      </c>
      <c r="P48" s="327">
        <f t="shared" si="5"/>
        <v>280000</v>
      </c>
      <c r="Q48" s="327">
        <f t="shared" si="5"/>
        <v>280000</v>
      </c>
      <c r="R48" s="327">
        <f t="shared" si="5"/>
        <v>280000</v>
      </c>
      <c r="S48" s="327">
        <f t="shared" si="5"/>
        <v>280000</v>
      </c>
      <c r="T48" s="327">
        <f t="shared" si="5"/>
        <v>280000</v>
      </c>
      <c r="U48" s="329">
        <f t="shared" si="3"/>
        <v>3360000</v>
      </c>
      <c r="V48" s="894"/>
    </row>
    <row r="49" spans="1:22" ht="28.5">
      <c r="A49" s="896"/>
      <c r="B49" s="896"/>
      <c r="C49" s="163" t="s">
        <v>819</v>
      </c>
      <c r="D49" s="332" t="s">
        <v>830</v>
      </c>
      <c r="E49" s="332" t="s">
        <v>219</v>
      </c>
      <c r="F49" s="163"/>
      <c r="G49" s="335">
        <v>12</v>
      </c>
      <c r="H49" s="328">
        <v>620000</v>
      </c>
      <c r="I49" s="327">
        <f t="shared" ref="I49:T49" si="6">$H$49</f>
        <v>620000</v>
      </c>
      <c r="J49" s="327">
        <f t="shared" si="6"/>
        <v>620000</v>
      </c>
      <c r="K49" s="327">
        <f t="shared" si="6"/>
        <v>620000</v>
      </c>
      <c r="L49" s="327">
        <f t="shared" si="6"/>
        <v>620000</v>
      </c>
      <c r="M49" s="327">
        <f t="shared" si="6"/>
        <v>620000</v>
      </c>
      <c r="N49" s="327">
        <f t="shared" si="6"/>
        <v>620000</v>
      </c>
      <c r="O49" s="327">
        <f t="shared" si="6"/>
        <v>620000</v>
      </c>
      <c r="P49" s="327">
        <f t="shared" si="6"/>
        <v>620000</v>
      </c>
      <c r="Q49" s="327">
        <f t="shared" si="6"/>
        <v>620000</v>
      </c>
      <c r="R49" s="327">
        <f t="shared" si="6"/>
        <v>620000</v>
      </c>
      <c r="S49" s="327">
        <f t="shared" si="6"/>
        <v>620000</v>
      </c>
      <c r="T49" s="327">
        <f t="shared" si="6"/>
        <v>620000</v>
      </c>
      <c r="U49" s="329">
        <f t="shared" si="3"/>
        <v>7440000</v>
      </c>
      <c r="V49" s="894"/>
    </row>
    <row r="50" spans="1:22" ht="41.25" customHeight="1">
      <c r="A50" s="896"/>
      <c r="B50" s="896"/>
      <c r="C50" s="163" t="s">
        <v>819</v>
      </c>
      <c r="D50" s="163" t="s">
        <v>831</v>
      </c>
      <c r="E50" s="163" t="s">
        <v>146</v>
      </c>
      <c r="F50" s="163" t="s">
        <v>150</v>
      </c>
      <c r="G50" s="332">
        <v>1300</v>
      </c>
      <c r="H50" s="327">
        <v>250</v>
      </c>
      <c r="I50" s="327">
        <f t="shared" ref="I50:T50" si="7">$G$50*$H$50</f>
        <v>325000</v>
      </c>
      <c r="J50" s="327">
        <f t="shared" si="7"/>
        <v>325000</v>
      </c>
      <c r="K50" s="327">
        <f t="shared" si="7"/>
        <v>325000</v>
      </c>
      <c r="L50" s="327">
        <f t="shared" si="7"/>
        <v>325000</v>
      </c>
      <c r="M50" s="327">
        <f t="shared" si="7"/>
        <v>325000</v>
      </c>
      <c r="N50" s="327">
        <f t="shared" si="7"/>
        <v>325000</v>
      </c>
      <c r="O50" s="327">
        <f t="shared" si="7"/>
        <v>325000</v>
      </c>
      <c r="P50" s="327">
        <f t="shared" si="7"/>
        <v>325000</v>
      </c>
      <c r="Q50" s="327">
        <f t="shared" si="7"/>
        <v>325000</v>
      </c>
      <c r="R50" s="327">
        <f t="shared" si="7"/>
        <v>325000</v>
      </c>
      <c r="S50" s="327">
        <f t="shared" si="7"/>
        <v>325000</v>
      </c>
      <c r="T50" s="327">
        <f t="shared" si="7"/>
        <v>325000</v>
      </c>
      <c r="U50" s="329">
        <f t="shared" si="3"/>
        <v>3900000</v>
      </c>
      <c r="V50" s="895"/>
    </row>
    <row r="51" spans="1:22" ht="15.75">
      <c r="A51" s="897" t="s">
        <v>832</v>
      </c>
      <c r="B51" s="897"/>
      <c r="C51" s="897"/>
      <c r="D51" s="897"/>
      <c r="E51" s="897"/>
      <c r="F51" s="897"/>
      <c r="G51" s="897"/>
      <c r="H51" s="77">
        <f t="shared" ref="H51:T51" si="8">+SUM(H16:H46)</f>
        <v>11680810</v>
      </c>
      <c r="I51" s="77">
        <f t="shared" si="8"/>
        <v>15000</v>
      </c>
      <c r="J51" s="77">
        <f t="shared" si="8"/>
        <v>122000</v>
      </c>
      <c r="K51" s="77">
        <f t="shared" si="8"/>
        <v>866000</v>
      </c>
      <c r="L51" s="77">
        <f t="shared" si="8"/>
        <v>1115000</v>
      </c>
      <c r="M51" s="77">
        <f t="shared" si="8"/>
        <v>221500</v>
      </c>
      <c r="N51" s="77">
        <f t="shared" si="8"/>
        <v>12284900</v>
      </c>
      <c r="O51" s="77">
        <f t="shared" si="8"/>
        <v>775000</v>
      </c>
      <c r="P51" s="77">
        <f t="shared" si="8"/>
        <v>0</v>
      </c>
      <c r="Q51" s="77">
        <f t="shared" si="8"/>
        <v>114000</v>
      </c>
      <c r="R51" s="77">
        <f t="shared" si="8"/>
        <v>0</v>
      </c>
      <c r="S51" s="77">
        <f t="shared" si="8"/>
        <v>465000</v>
      </c>
      <c r="T51" s="77">
        <f t="shared" si="8"/>
        <v>196250</v>
      </c>
      <c r="U51" s="338">
        <f>+SUM(U16:U50)</f>
        <v>18679750</v>
      </c>
      <c r="V51" s="45"/>
    </row>
    <row r="54" spans="1:22">
      <c r="G54" s="337"/>
    </row>
  </sheetData>
  <mergeCells count="45">
    <mergeCell ref="A42:A50"/>
    <mergeCell ref="B42:B50"/>
    <mergeCell ref="V42:V50"/>
    <mergeCell ref="A51:G51"/>
    <mergeCell ref="A25:A41"/>
    <mergeCell ref="B25:B26"/>
    <mergeCell ref="C25:C41"/>
    <mergeCell ref="V25:V41"/>
    <mergeCell ref="B27:B28"/>
    <mergeCell ref="B29:B31"/>
    <mergeCell ref="B32:B35"/>
    <mergeCell ref="B36:B37"/>
    <mergeCell ref="B38:B41"/>
    <mergeCell ref="A19:A20"/>
    <mergeCell ref="B19:B20"/>
    <mergeCell ref="C19:C20"/>
    <mergeCell ref="V19:V20"/>
    <mergeCell ref="A21:A24"/>
    <mergeCell ref="B21:B23"/>
    <mergeCell ref="C21:C24"/>
    <mergeCell ref="V21:V24"/>
    <mergeCell ref="A16:A17"/>
    <mergeCell ref="B16:B17"/>
    <mergeCell ref="C16:C17"/>
    <mergeCell ref="V16:V17"/>
    <mergeCell ref="G14:G15"/>
    <mergeCell ref="H14:H15"/>
    <mergeCell ref="I14:K14"/>
    <mergeCell ref="L14:N14"/>
    <mergeCell ref="O14:Q14"/>
    <mergeCell ref="R14:T14"/>
    <mergeCell ref="A14:A15"/>
    <mergeCell ref="B14:B15"/>
    <mergeCell ref="C14:C15"/>
    <mergeCell ref="D14:D15"/>
    <mergeCell ref="E14:E15"/>
    <mergeCell ref="F14:F15"/>
    <mergeCell ref="B12:V12"/>
    <mergeCell ref="U14:U15"/>
    <mergeCell ref="V14:V15"/>
    <mergeCell ref="A7:V7"/>
    <mergeCell ref="A8:V8"/>
    <mergeCell ref="A9:V9"/>
    <mergeCell ref="B10:V10"/>
    <mergeCell ref="B11:V11"/>
  </mergeCells>
  <pageMargins left="0.7" right="0.7" top="0.75" bottom="0.75" header="0.3" footer="0.3"/>
  <pageSetup orientation="portrait" r:id="rId1"/>
  <ignoredErrors>
    <ignoredError sqref="U20:U24 U33:U35 U46"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7E2F-3D00-44AC-B8F7-E1620DADFA94}">
  <dimension ref="A7:O28"/>
  <sheetViews>
    <sheetView showGridLines="0" workbookViewId="0">
      <selection activeCell="A9" sqref="A9"/>
    </sheetView>
  </sheetViews>
  <sheetFormatPr defaultColWidth="10.28515625" defaultRowHeight="14.25"/>
  <cols>
    <col min="1" max="1" width="12.5703125" style="3" bestFit="1" customWidth="1"/>
    <col min="2" max="2" width="31.140625" style="3" customWidth="1"/>
    <col min="3" max="3" width="11.42578125" style="3" customWidth="1"/>
    <col min="4" max="14" width="16.5703125" style="3" bestFit="1" customWidth="1"/>
    <col min="15" max="15" width="18.42578125" style="3" bestFit="1" customWidth="1"/>
    <col min="16" max="16" width="13" style="3" bestFit="1" customWidth="1"/>
    <col min="17" max="16384" width="10.28515625" style="3"/>
  </cols>
  <sheetData>
    <row r="7" spans="1:15" s="1" customFormat="1" ht="15">
      <c r="B7" s="2" t="s">
        <v>0</v>
      </c>
      <c r="C7" s="1" t="s">
        <v>1</v>
      </c>
    </row>
    <row r="8" spans="1:15" ht="15.75" thickBot="1">
      <c r="B8" s="2"/>
      <c r="C8" s="4" t="s">
        <v>2</v>
      </c>
    </row>
    <row r="9" spans="1:15" ht="36">
      <c r="A9" s="5" t="s">
        <v>3</v>
      </c>
      <c r="B9" s="6" t="s">
        <v>4</v>
      </c>
      <c r="C9" s="7">
        <v>44927</v>
      </c>
      <c r="D9" s="7">
        <v>44958</v>
      </c>
      <c r="E9" s="7">
        <v>44986</v>
      </c>
      <c r="F9" s="7">
        <v>45017</v>
      </c>
      <c r="G9" s="7">
        <v>45047</v>
      </c>
      <c r="H9" s="7">
        <v>45078</v>
      </c>
      <c r="I9" s="7">
        <v>45108</v>
      </c>
      <c r="J9" s="7">
        <v>45139</v>
      </c>
      <c r="K9" s="7">
        <v>45170</v>
      </c>
      <c r="L9" s="7">
        <v>45200</v>
      </c>
      <c r="M9" s="7">
        <v>45231</v>
      </c>
      <c r="N9" s="7">
        <v>45261</v>
      </c>
      <c r="O9" s="8" t="s">
        <v>5</v>
      </c>
    </row>
    <row r="10" spans="1:15">
      <c r="A10" s="9" t="s">
        <v>6</v>
      </c>
      <c r="B10" s="10" t="s">
        <v>7</v>
      </c>
      <c r="C10" s="11">
        <v>0</v>
      </c>
      <c r="D10" s="11">
        <v>494027.23000000004</v>
      </c>
      <c r="E10" s="11">
        <v>494027.23000000004</v>
      </c>
      <c r="F10" s="11">
        <v>494027.23000000004</v>
      </c>
      <c r="G10" s="11">
        <v>494027.23000000004</v>
      </c>
      <c r="H10" s="11">
        <v>494027.23000000004</v>
      </c>
      <c r="I10" s="11">
        <v>494027.23000000004</v>
      </c>
      <c r="J10" s="11">
        <v>494027.23000000004</v>
      </c>
      <c r="K10" s="11">
        <v>494027.23000000004</v>
      </c>
      <c r="L10" s="11">
        <v>494027.23000000004</v>
      </c>
      <c r="M10" s="11">
        <v>494027.23000000004</v>
      </c>
      <c r="N10" s="11">
        <v>494027.23000000004</v>
      </c>
      <c r="O10" s="12">
        <f>SUM(C10:N10)</f>
        <v>5434299.5300000012</v>
      </c>
    </row>
    <row r="11" spans="1:15">
      <c r="A11" s="9" t="s">
        <v>8</v>
      </c>
      <c r="B11" s="13" t="s">
        <v>9</v>
      </c>
      <c r="C11" s="11"/>
      <c r="D11" s="11"/>
      <c r="E11" s="11"/>
      <c r="F11" s="11"/>
      <c r="G11" s="11"/>
      <c r="H11" s="11"/>
      <c r="I11" s="11"/>
      <c r="J11" s="11"/>
      <c r="K11" s="11"/>
      <c r="L11" s="11"/>
      <c r="M11" s="11">
        <v>494027.23000000004</v>
      </c>
      <c r="N11" s="14"/>
      <c r="O11" s="12">
        <f>SUM(C11:N11)</f>
        <v>494027.23000000004</v>
      </c>
    </row>
    <row r="12" spans="1:15" ht="15" thickBot="1">
      <c r="A12" s="15" t="s">
        <v>10</v>
      </c>
      <c r="B12" s="16" t="s">
        <v>11</v>
      </c>
      <c r="C12" s="17"/>
      <c r="D12" s="17"/>
      <c r="E12" s="17"/>
      <c r="F12" s="17"/>
      <c r="G12" s="17"/>
      <c r="H12" s="17"/>
      <c r="I12" s="17"/>
      <c r="J12" s="17"/>
      <c r="K12" s="17"/>
      <c r="L12" s="17"/>
      <c r="M12" s="17"/>
      <c r="N12" s="17">
        <v>494027.23000000004</v>
      </c>
      <c r="O12" s="12">
        <f>SUM(C12:N12)</f>
        <v>494027.23000000004</v>
      </c>
    </row>
    <row r="13" spans="1:15" ht="26.25" thickBot="1">
      <c r="A13" s="18"/>
      <c r="B13" s="19" t="s">
        <v>12</v>
      </c>
      <c r="C13" s="20">
        <v>0</v>
      </c>
      <c r="D13" s="20">
        <v>75536.763466999997</v>
      </c>
      <c r="E13" s="20">
        <v>75536.763466999997</v>
      </c>
      <c r="F13" s="20">
        <v>75536.763466999997</v>
      </c>
      <c r="G13" s="20">
        <v>75536.763466999997</v>
      </c>
      <c r="H13" s="20">
        <v>75536.763466999997</v>
      </c>
      <c r="I13" s="20">
        <v>75536.763466999997</v>
      </c>
      <c r="J13" s="20">
        <v>75536.763466999997</v>
      </c>
      <c r="K13" s="20">
        <v>75536.763466999997</v>
      </c>
      <c r="L13" s="20">
        <v>75536.763466999997</v>
      </c>
      <c r="M13" s="20">
        <v>75536.763466999997</v>
      </c>
      <c r="N13" s="20">
        <v>75536.763466999997</v>
      </c>
      <c r="O13" s="21">
        <f>SUM(C13:N13)</f>
        <v>830904.39813699992</v>
      </c>
    </row>
    <row r="14" spans="1:15" s="1" customFormat="1" ht="15.75" thickBot="1">
      <c r="A14" s="903" t="s">
        <v>13</v>
      </c>
      <c r="B14" s="904"/>
      <c r="C14" s="22"/>
      <c r="D14" s="22"/>
      <c r="E14" s="22"/>
      <c r="F14" s="22"/>
      <c r="G14" s="22"/>
      <c r="H14" s="22"/>
      <c r="I14" s="22"/>
      <c r="J14" s="22"/>
      <c r="K14" s="22"/>
      <c r="L14" s="22"/>
      <c r="M14" s="22"/>
      <c r="N14" s="22"/>
      <c r="O14" s="23">
        <f>SUM(O10:O13)</f>
        <v>7253258.3881370015</v>
      </c>
    </row>
    <row r="18" spans="1:15" ht="15">
      <c r="A18" s="1"/>
      <c r="B18" s="2" t="s">
        <v>14</v>
      </c>
      <c r="C18" s="1" t="s">
        <v>15</v>
      </c>
      <c r="D18" s="1"/>
      <c r="E18" s="1"/>
      <c r="F18" s="1"/>
      <c r="G18" s="1"/>
      <c r="H18" s="1"/>
      <c r="I18" s="1"/>
      <c r="J18" s="1"/>
      <c r="K18" s="1"/>
      <c r="L18" s="1"/>
      <c r="M18" s="1"/>
      <c r="N18" s="1"/>
      <c r="O18" s="1"/>
    </row>
    <row r="19" spans="1:15" ht="15.75" thickBot="1">
      <c r="B19" s="2"/>
      <c r="C19" s="4" t="s">
        <v>16</v>
      </c>
    </row>
    <row r="20" spans="1:15" ht="36">
      <c r="A20" s="24" t="s">
        <v>3</v>
      </c>
      <c r="B20" s="6" t="s">
        <v>4</v>
      </c>
      <c r="C20" s="7">
        <v>44927</v>
      </c>
      <c r="D20" s="7">
        <v>44958</v>
      </c>
      <c r="E20" s="7">
        <v>44986</v>
      </c>
      <c r="F20" s="7">
        <v>45017</v>
      </c>
      <c r="G20" s="7">
        <v>45047</v>
      </c>
      <c r="H20" s="7">
        <v>45078</v>
      </c>
      <c r="I20" s="7">
        <v>45108</v>
      </c>
      <c r="J20" s="7">
        <v>45139</v>
      </c>
      <c r="K20" s="7">
        <v>45170</v>
      </c>
      <c r="L20" s="7">
        <v>45200</v>
      </c>
      <c r="M20" s="7">
        <v>45231</v>
      </c>
      <c r="N20" s="7">
        <v>45261</v>
      </c>
      <c r="O20" s="8" t="s">
        <v>5</v>
      </c>
    </row>
    <row r="21" spans="1:15">
      <c r="A21" s="9" t="s">
        <v>6</v>
      </c>
      <c r="B21" s="10" t="s">
        <v>7</v>
      </c>
      <c r="C21" s="11">
        <v>0</v>
      </c>
      <c r="D21" s="11">
        <v>903000</v>
      </c>
      <c r="E21" s="11">
        <v>903000</v>
      </c>
      <c r="F21" s="11">
        <v>903000</v>
      </c>
      <c r="G21" s="11">
        <v>903000</v>
      </c>
      <c r="H21" s="11">
        <v>903000</v>
      </c>
      <c r="I21" s="11">
        <v>903000</v>
      </c>
      <c r="J21" s="11">
        <v>903000</v>
      </c>
      <c r="K21" s="11">
        <v>903000</v>
      </c>
      <c r="L21" s="11">
        <v>903000</v>
      </c>
      <c r="M21" s="11">
        <v>903000</v>
      </c>
      <c r="N21" s="11">
        <v>903000</v>
      </c>
      <c r="O21" s="12">
        <f>SUM(C21:N21)</f>
        <v>9933000</v>
      </c>
    </row>
    <row r="22" spans="1:15">
      <c r="A22" s="9" t="s">
        <v>8</v>
      </c>
      <c r="B22" s="13" t="s">
        <v>9</v>
      </c>
      <c r="C22" s="11"/>
      <c r="D22" s="11"/>
      <c r="E22" s="11"/>
      <c r="F22" s="11"/>
      <c r="G22" s="11"/>
      <c r="H22" s="11"/>
      <c r="I22" s="11"/>
      <c r="J22" s="11"/>
      <c r="K22" s="11"/>
      <c r="L22" s="11"/>
      <c r="M22" s="11">
        <v>903000</v>
      </c>
      <c r="N22" s="14"/>
      <c r="O22" s="12">
        <f>SUM(C22:N22)</f>
        <v>903000</v>
      </c>
    </row>
    <row r="23" spans="1:15" ht="15" thickBot="1">
      <c r="A23" s="15" t="s">
        <v>10</v>
      </c>
      <c r="B23" s="16" t="s">
        <v>11</v>
      </c>
      <c r="C23" s="17"/>
      <c r="D23" s="17"/>
      <c r="E23" s="17"/>
      <c r="F23" s="17"/>
      <c r="G23" s="17"/>
      <c r="H23" s="17"/>
      <c r="I23" s="17"/>
      <c r="J23" s="17"/>
      <c r="K23" s="17"/>
      <c r="L23" s="17"/>
      <c r="M23" s="17"/>
      <c r="N23" s="17">
        <v>903000</v>
      </c>
      <c r="O23" s="12">
        <f>SUM(C23:N23)</f>
        <v>903000</v>
      </c>
    </row>
    <row r="24" spans="1:15" ht="26.25" thickBot="1">
      <c r="A24" s="18"/>
      <c r="B24" s="19" t="s">
        <v>12</v>
      </c>
      <c r="C24" s="20">
        <v>0</v>
      </c>
      <c r="D24" s="20">
        <v>138068.70000000001</v>
      </c>
      <c r="E24" s="20">
        <v>138068.70000000001</v>
      </c>
      <c r="F24" s="20">
        <v>138068.70000000001</v>
      </c>
      <c r="G24" s="20">
        <v>138068.70000000001</v>
      </c>
      <c r="H24" s="20">
        <v>138068.70000000001</v>
      </c>
      <c r="I24" s="20">
        <v>138068.70000000001</v>
      </c>
      <c r="J24" s="20">
        <v>138068.70000000001</v>
      </c>
      <c r="K24" s="20">
        <v>138068.70000000001</v>
      </c>
      <c r="L24" s="20">
        <v>138068.70000000001</v>
      </c>
      <c r="M24" s="20">
        <v>138068.70000000001</v>
      </c>
      <c r="N24" s="20">
        <v>138068.70000000001</v>
      </c>
      <c r="O24" s="21">
        <f>SUM(C24:N24)</f>
        <v>1518755.6999999997</v>
      </c>
    </row>
    <row r="25" spans="1:15" ht="15.75" thickBot="1">
      <c r="A25" s="903" t="s">
        <v>13</v>
      </c>
      <c r="B25" s="904"/>
      <c r="C25" s="25"/>
      <c r="D25" s="25"/>
      <c r="E25" s="25"/>
      <c r="F25" s="25"/>
      <c r="G25" s="25"/>
      <c r="H25" s="25"/>
      <c r="I25" s="25"/>
      <c r="J25" s="25"/>
      <c r="K25" s="25"/>
      <c r="L25" s="25"/>
      <c r="M25" s="25"/>
      <c r="N25" s="25"/>
      <c r="O25" s="23">
        <f>SUM(O21:O24)</f>
        <v>13257755.699999999</v>
      </c>
    </row>
    <row r="28" spans="1:15">
      <c r="O28" s="26"/>
    </row>
  </sheetData>
  <mergeCells count="2">
    <mergeCell ref="A14:B14"/>
    <mergeCell ref="A25:B2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A5DDC-7269-4172-83FE-351DCC697E26}">
  <dimension ref="A7:T32"/>
  <sheetViews>
    <sheetView showGridLines="0" workbookViewId="0">
      <selection activeCell="A14" sqref="A14:A15"/>
    </sheetView>
  </sheetViews>
  <sheetFormatPr defaultColWidth="11.42578125" defaultRowHeight="14.25"/>
  <cols>
    <col min="1" max="1" width="41.5703125" style="56" customWidth="1"/>
    <col min="2" max="2" width="23" style="56" customWidth="1"/>
    <col min="3" max="3" width="17.5703125" style="53" customWidth="1"/>
    <col min="4" max="4" width="19.140625" style="27" customWidth="1"/>
    <col min="5" max="5" width="14.42578125" style="27" customWidth="1"/>
    <col min="6" max="6" width="27.7109375" style="69" customWidth="1"/>
    <col min="7" max="7" width="8.28515625" style="27" customWidth="1"/>
    <col min="8" max="8" width="9.7109375" style="27" customWidth="1"/>
    <col min="9" max="9" width="8.5703125" style="27" customWidth="1"/>
    <col min="10" max="10" width="8" style="27" customWidth="1"/>
    <col min="11" max="11" width="9" style="27" customWidth="1"/>
    <col min="12" max="13" width="8.140625" style="27" customWidth="1"/>
    <col min="14" max="14" width="11" style="27" customWidth="1"/>
    <col min="15" max="15" width="15.140625" style="27" customWidth="1"/>
    <col min="16" max="16" width="11.140625" style="27" customWidth="1"/>
    <col min="17" max="17" width="13.7109375" style="27" customWidth="1"/>
    <col min="18" max="18" width="12.7109375" style="27" customWidth="1"/>
    <col min="19" max="19" width="21.7109375" style="27" bestFit="1" customWidth="1"/>
    <col min="20" max="20" width="20.140625" style="72" customWidth="1"/>
    <col min="21" max="16384" width="11.42578125" style="27"/>
  </cols>
  <sheetData>
    <row r="7" spans="1:20" ht="28.5" customHeight="1">
      <c r="A7" s="698" t="s">
        <v>60</v>
      </c>
      <c r="B7" s="698"/>
      <c r="C7" s="698"/>
      <c r="D7" s="698"/>
      <c r="E7" s="698"/>
      <c r="F7" s="698"/>
      <c r="G7" s="698"/>
      <c r="H7" s="698"/>
      <c r="I7" s="698"/>
      <c r="J7" s="698"/>
      <c r="K7" s="698"/>
      <c r="L7" s="698"/>
      <c r="M7" s="698"/>
      <c r="N7" s="698"/>
      <c r="O7" s="698"/>
      <c r="P7" s="698"/>
      <c r="Q7" s="698"/>
      <c r="R7" s="698"/>
      <c r="S7" s="698"/>
      <c r="T7" s="698"/>
    </row>
    <row r="8" spans="1:20" ht="20.25">
      <c r="A8" s="698" t="s">
        <v>61</v>
      </c>
      <c r="B8" s="698"/>
      <c r="C8" s="698"/>
      <c r="D8" s="698"/>
      <c r="E8" s="698"/>
      <c r="F8" s="698"/>
      <c r="G8" s="698"/>
      <c r="H8" s="698"/>
      <c r="I8" s="698"/>
      <c r="J8" s="698"/>
      <c r="K8" s="698"/>
      <c r="L8" s="698"/>
      <c r="M8" s="698"/>
      <c r="N8" s="698"/>
      <c r="O8" s="698"/>
      <c r="P8" s="698"/>
      <c r="Q8" s="698"/>
      <c r="R8" s="698"/>
      <c r="S8" s="698"/>
      <c r="T8" s="698"/>
    </row>
    <row r="9" spans="1:20" ht="20.25">
      <c r="A9" s="341"/>
      <c r="B9" s="341"/>
      <c r="C9" s="342"/>
      <c r="D9" s="49"/>
      <c r="E9" s="49"/>
      <c r="F9" s="343"/>
      <c r="G9" s="49"/>
      <c r="H9" s="49"/>
      <c r="I9" s="49"/>
      <c r="J9" s="49"/>
      <c r="K9" s="49"/>
      <c r="L9" s="49"/>
      <c r="M9" s="49"/>
      <c r="N9" s="49"/>
      <c r="O9" s="49"/>
      <c r="P9" s="49"/>
      <c r="Q9" s="49"/>
      <c r="R9" s="49"/>
      <c r="S9" s="49"/>
      <c r="T9" s="342"/>
    </row>
    <row r="10" spans="1:20" ht="20.25">
      <c r="A10" s="406" t="s">
        <v>62</v>
      </c>
      <c r="B10" s="699" t="s">
        <v>870</v>
      </c>
      <c r="C10" s="699"/>
      <c r="D10" s="699"/>
      <c r="E10" s="699"/>
      <c r="F10" s="699"/>
      <c r="G10" s="699"/>
      <c r="H10" s="699"/>
      <c r="I10" s="699"/>
      <c r="J10" s="699"/>
      <c r="K10" s="699"/>
      <c r="L10" s="699"/>
      <c r="M10" s="699"/>
      <c r="N10" s="699"/>
      <c r="O10" s="699"/>
      <c r="P10" s="699"/>
      <c r="Q10" s="699"/>
      <c r="R10" s="699"/>
      <c r="S10" s="699"/>
      <c r="T10" s="699"/>
    </row>
    <row r="11" spans="1:20" ht="20.25">
      <c r="A11" s="406" t="s">
        <v>63</v>
      </c>
      <c r="B11" s="699" t="s">
        <v>155</v>
      </c>
      <c r="C11" s="699"/>
      <c r="D11" s="699"/>
      <c r="E11" s="699"/>
      <c r="F11" s="699"/>
      <c r="G11" s="699"/>
      <c r="H11" s="699"/>
      <c r="I11" s="699"/>
      <c r="J11" s="699"/>
      <c r="K11" s="699"/>
      <c r="L11" s="699"/>
      <c r="M11" s="699"/>
      <c r="N11" s="699"/>
      <c r="O11" s="699"/>
      <c r="P11" s="699"/>
      <c r="Q11" s="699"/>
      <c r="R11" s="699"/>
      <c r="S11" s="699"/>
      <c r="T11" s="699"/>
    </row>
    <row r="12" spans="1:20" ht="20.25">
      <c r="A12" s="406" t="s">
        <v>65</v>
      </c>
      <c r="B12" s="700" t="s">
        <v>836</v>
      </c>
      <c r="C12" s="701"/>
      <c r="D12" s="701"/>
      <c r="E12" s="701"/>
      <c r="F12" s="701"/>
      <c r="G12" s="701"/>
      <c r="H12" s="701"/>
      <c r="I12" s="701"/>
      <c r="J12" s="701"/>
      <c r="K12" s="701"/>
      <c r="L12" s="701"/>
      <c r="M12" s="701"/>
      <c r="N12" s="701"/>
      <c r="O12" s="701"/>
      <c r="P12" s="701"/>
      <c r="Q12" s="701"/>
      <c r="R12" s="701"/>
      <c r="S12" s="701"/>
      <c r="T12" s="702"/>
    </row>
    <row r="14" spans="1:20" ht="17.25" customHeight="1">
      <c r="A14" s="906" t="s">
        <v>66</v>
      </c>
      <c r="B14" s="906" t="s">
        <v>67</v>
      </c>
      <c r="C14" s="906" t="s">
        <v>68</v>
      </c>
      <c r="D14" s="908" t="s">
        <v>69</v>
      </c>
      <c r="E14" s="908"/>
      <c r="F14" s="905" t="s">
        <v>70</v>
      </c>
      <c r="G14" s="909" t="s">
        <v>71</v>
      </c>
      <c r="H14" s="909"/>
      <c r="I14" s="909"/>
      <c r="J14" s="909" t="s">
        <v>72</v>
      </c>
      <c r="K14" s="909"/>
      <c r="L14" s="909"/>
      <c r="M14" s="909" t="s">
        <v>73</v>
      </c>
      <c r="N14" s="909"/>
      <c r="O14" s="909"/>
      <c r="P14" s="909" t="s">
        <v>74</v>
      </c>
      <c r="Q14" s="909"/>
      <c r="R14" s="909"/>
      <c r="S14" s="905" t="s">
        <v>75</v>
      </c>
      <c r="T14" s="905" t="s">
        <v>76</v>
      </c>
    </row>
    <row r="15" spans="1:20" s="53" customFormat="1" ht="29.25" customHeight="1">
      <c r="A15" s="907"/>
      <c r="B15" s="907"/>
      <c r="C15" s="907"/>
      <c r="D15" s="407" t="s">
        <v>77</v>
      </c>
      <c r="E15" s="407" t="s">
        <v>78</v>
      </c>
      <c r="F15" s="905"/>
      <c r="G15" s="408" t="s">
        <v>79</v>
      </c>
      <c r="H15" s="408" t="s">
        <v>80</v>
      </c>
      <c r="I15" s="408" t="s">
        <v>81</v>
      </c>
      <c r="J15" s="408" t="s">
        <v>82</v>
      </c>
      <c r="K15" s="408" t="s">
        <v>83</v>
      </c>
      <c r="L15" s="408" t="s">
        <v>84</v>
      </c>
      <c r="M15" s="408" t="s">
        <v>85</v>
      </c>
      <c r="N15" s="408" t="s">
        <v>86</v>
      </c>
      <c r="O15" s="408" t="s">
        <v>87</v>
      </c>
      <c r="P15" s="408" t="s">
        <v>88</v>
      </c>
      <c r="Q15" s="408" t="s">
        <v>89</v>
      </c>
      <c r="R15" s="408" t="s">
        <v>90</v>
      </c>
      <c r="S15" s="905"/>
      <c r="T15" s="905"/>
    </row>
    <row r="16" spans="1:20" ht="42.75">
      <c r="A16" s="34" t="s">
        <v>1128</v>
      </c>
      <c r="B16" s="34" t="s">
        <v>837</v>
      </c>
      <c r="C16" s="34" t="s">
        <v>838</v>
      </c>
      <c r="D16" s="36" t="s">
        <v>839</v>
      </c>
      <c r="E16" s="67">
        <v>1</v>
      </c>
      <c r="F16" s="34" t="s">
        <v>1129</v>
      </c>
      <c r="G16" s="36"/>
      <c r="H16" s="36"/>
      <c r="I16" s="36"/>
      <c r="J16" s="36"/>
      <c r="K16" s="36"/>
      <c r="L16" s="36"/>
      <c r="M16" s="67">
        <v>0.1</v>
      </c>
      <c r="N16" s="67">
        <v>0.2</v>
      </c>
      <c r="O16" s="67">
        <v>0.2</v>
      </c>
      <c r="P16" s="67">
        <v>0.2</v>
      </c>
      <c r="Q16" s="67">
        <v>0.2</v>
      </c>
      <c r="R16" s="67">
        <v>0.1</v>
      </c>
      <c r="S16" s="409">
        <f>'[6]Presupuesto G.'!U17</f>
        <v>1656000</v>
      </c>
      <c r="T16" s="55" t="s">
        <v>840</v>
      </c>
    </row>
    <row r="17" spans="1:20" ht="71.25">
      <c r="A17" s="30" t="s">
        <v>1130</v>
      </c>
      <c r="B17" s="30" t="s">
        <v>841</v>
      </c>
      <c r="C17" s="30" t="s">
        <v>842</v>
      </c>
      <c r="D17" s="32" t="s">
        <v>839</v>
      </c>
      <c r="E17" s="216">
        <v>1</v>
      </c>
      <c r="F17" s="30" t="s">
        <v>1131</v>
      </c>
      <c r="G17" s="60"/>
      <c r="H17" s="32"/>
      <c r="I17" s="344">
        <v>0.1</v>
      </c>
      <c r="J17" s="344">
        <v>0.1</v>
      </c>
      <c r="K17" s="344">
        <v>0.1</v>
      </c>
      <c r="L17" s="344">
        <v>0.1</v>
      </c>
      <c r="M17" s="344">
        <v>0.1</v>
      </c>
      <c r="N17" s="344">
        <v>0.1</v>
      </c>
      <c r="O17" s="344">
        <v>0.1</v>
      </c>
      <c r="P17" s="344">
        <v>0.1</v>
      </c>
      <c r="Q17" s="344">
        <v>0.1</v>
      </c>
      <c r="R17" s="344">
        <v>0.1</v>
      </c>
      <c r="S17" s="410"/>
      <c r="T17" s="59" t="s">
        <v>843</v>
      </c>
    </row>
    <row r="18" spans="1:20" ht="71.25">
      <c r="A18" s="34" t="s">
        <v>1132</v>
      </c>
      <c r="B18" s="34" t="s">
        <v>841</v>
      </c>
      <c r="C18" s="34" t="s">
        <v>844</v>
      </c>
      <c r="D18" s="36" t="s">
        <v>839</v>
      </c>
      <c r="E18" s="67">
        <v>1</v>
      </c>
      <c r="F18" s="34" t="s">
        <v>1133</v>
      </c>
      <c r="G18" s="36"/>
      <c r="H18" s="36"/>
      <c r="I18" s="36"/>
      <c r="J18" s="36"/>
      <c r="K18" s="36"/>
      <c r="L18" s="36"/>
      <c r="M18" s="67">
        <v>0.1</v>
      </c>
      <c r="N18" s="67">
        <v>0.2</v>
      </c>
      <c r="O18" s="67">
        <v>0.2</v>
      </c>
      <c r="P18" s="67">
        <v>0.2</v>
      </c>
      <c r="Q18" s="67">
        <v>0.2</v>
      </c>
      <c r="R18" s="67">
        <v>0.1</v>
      </c>
      <c r="S18" s="409">
        <f>'[6]Presupuesto G.'!U19</f>
        <v>1656000</v>
      </c>
      <c r="T18" s="55" t="s">
        <v>845</v>
      </c>
    </row>
    <row r="19" spans="1:20" ht="57">
      <c r="A19" s="30" t="s">
        <v>1134</v>
      </c>
      <c r="B19" s="30" t="s">
        <v>846</v>
      </c>
      <c r="C19" s="30" t="s">
        <v>847</v>
      </c>
      <c r="D19" s="32" t="s">
        <v>839</v>
      </c>
      <c r="E19" s="216">
        <v>1</v>
      </c>
      <c r="F19" s="30" t="s">
        <v>1135</v>
      </c>
      <c r="G19" s="32"/>
      <c r="H19" s="32"/>
      <c r="I19" s="216">
        <v>0.1</v>
      </c>
      <c r="J19" s="216">
        <v>0.1</v>
      </c>
      <c r="K19" s="216">
        <v>0.2</v>
      </c>
      <c r="L19" s="216">
        <v>0.2</v>
      </c>
      <c r="M19" s="216">
        <v>0.3</v>
      </c>
      <c r="N19" s="216">
        <v>0.1</v>
      </c>
      <c r="O19" s="32"/>
      <c r="P19" s="32"/>
      <c r="Q19" s="32"/>
      <c r="R19" s="32"/>
      <c r="S19" s="410">
        <f>'[6]Presupuesto G.'!U20</f>
        <v>1000000</v>
      </c>
      <c r="T19" s="75" t="s">
        <v>848</v>
      </c>
    </row>
    <row r="20" spans="1:20" ht="42.75">
      <c r="A20" s="706" t="s">
        <v>1136</v>
      </c>
      <c r="B20" s="706" t="s">
        <v>849</v>
      </c>
      <c r="C20" s="34" t="s">
        <v>850</v>
      </c>
      <c r="D20" s="36" t="s">
        <v>839</v>
      </c>
      <c r="E20" s="345">
        <v>1</v>
      </c>
      <c r="F20" s="34" t="s">
        <v>1137</v>
      </c>
      <c r="G20" s="67">
        <v>0.1</v>
      </c>
      <c r="H20" s="67">
        <v>0.4</v>
      </c>
      <c r="I20" s="67">
        <v>0.3</v>
      </c>
      <c r="J20" s="67">
        <v>0.2</v>
      </c>
      <c r="K20" s="36"/>
      <c r="L20" s="36"/>
      <c r="M20" s="36"/>
      <c r="N20" s="36"/>
      <c r="O20" s="36"/>
      <c r="P20" s="36"/>
      <c r="Q20" s="36"/>
      <c r="R20" s="36"/>
      <c r="S20" s="409">
        <f>'[6]Presupuesto G.'!U21</f>
        <v>1000000</v>
      </c>
      <c r="T20" s="765" t="s">
        <v>843</v>
      </c>
    </row>
    <row r="21" spans="1:20" ht="57" customHeight="1">
      <c r="A21" s="716"/>
      <c r="B21" s="716"/>
      <c r="C21" s="34" t="s">
        <v>851</v>
      </c>
      <c r="D21" s="55" t="s">
        <v>839</v>
      </c>
      <c r="E21" s="346">
        <v>1</v>
      </c>
      <c r="F21" s="34" t="s">
        <v>1138</v>
      </c>
      <c r="G21" s="36"/>
      <c r="H21" s="36"/>
      <c r="I21" s="67">
        <v>0.16</v>
      </c>
      <c r="J21" s="67">
        <v>0.16</v>
      </c>
      <c r="K21" s="36"/>
      <c r="L21" s="67">
        <v>0.17</v>
      </c>
      <c r="M21" s="67">
        <v>0.17</v>
      </c>
      <c r="N21" s="67">
        <v>0.17</v>
      </c>
      <c r="O21" s="67">
        <v>0.17</v>
      </c>
      <c r="P21" s="36"/>
      <c r="Q21" s="36"/>
      <c r="R21" s="36"/>
      <c r="S21" s="409">
        <v>0</v>
      </c>
      <c r="T21" s="766"/>
    </row>
    <row r="22" spans="1:20" ht="71.25" customHeight="1">
      <c r="A22" s="707"/>
      <c r="B22" s="707"/>
      <c r="C22" s="34" t="s">
        <v>842</v>
      </c>
      <c r="D22" s="55" t="s">
        <v>839</v>
      </c>
      <c r="E22" s="67">
        <v>1</v>
      </c>
      <c r="F22" s="34" t="s">
        <v>1139</v>
      </c>
      <c r="G22" s="36"/>
      <c r="H22" s="67">
        <v>0.1</v>
      </c>
      <c r="I22" s="67">
        <v>0.1</v>
      </c>
      <c r="J22" s="67">
        <v>0.1</v>
      </c>
      <c r="K22" s="67">
        <v>0.25</v>
      </c>
      <c r="L22" s="67">
        <v>0.25</v>
      </c>
      <c r="M22" s="67">
        <v>0.2</v>
      </c>
      <c r="N22" s="36"/>
      <c r="O22" s="36"/>
      <c r="P22" s="36"/>
      <c r="Q22" s="36"/>
      <c r="R22" s="36"/>
      <c r="S22" s="409">
        <f>'[6]Presupuesto G.'!U22</f>
        <v>100000</v>
      </c>
      <c r="T22" s="767"/>
    </row>
    <row r="23" spans="1:20" ht="71.25">
      <c r="A23" s="910" t="s">
        <v>1140</v>
      </c>
      <c r="B23" s="57" t="s">
        <v>852</v>
      </c>
      <c r="C23" s="57" t="s">
        <v>853</v>
      </c>
      <c r="D23" s="59" t="s">
        <v>839</v>
      </c>
      <c r="E23" s="262">
        <v>1</v>
      </c>
      <c r="F23" s="57" t="s">
        <v>1141</v>
      </c>
      <c r="G23" s="60"/>
      <c r="H23" s="60"/>
      <c r="I23" s="60"/>
      <c r="J23" s="60"/>
      <c r="K23" s="139">
        <v>0.5</v>
      </c>
      <c r="L23" s="139">
        <v>0.4</v>
      </c>
      <c r="M23" s="139">
        <v>0.1</v>
      </c>
      <c r="N23" s="60"/>
      <c r="O23" s="139"/>
      <c r="P23" s="139">
        <v>0.5</v>
      </c>
      <c r="Q23" s="139">
        <v>0.4</v>
      </c>
      <c r="R23" s="139">
        <v>0.1</v>
      </c>
      <c r="S23" s="411">
        <f>SUM('[6]Presupuesto G.'!U23:U31)</f>
        <v>503300</v>
      </c>
      <c r="T23" s="59" t="s">
        <v>854</v>
      </c>
    </row>
    <row r="24" spans="1:20" ht="71.25">
      <c r="A24" s="911"/>
      <c r="B24" s="57" t="s">
        <v>855</v>
      </c>
      <c r="C24" s="57" t="s">
        <v>856</v>
      </c>
      <c r="D24" s="60" t="s">
        <v>839</v>
      </c>
      <c r="E24" s="139">
        <v>1</v>
      </c>
      <c r="F24" s="57" t="s">
        <v>1142</v>
      </c>
      <c r="G24" s="60"/>
      <c r="H24" s="139">
        <v>0.2</v>
      </c>
      <c r="I24" s="139">
        <v>0.8</v>
      </c>
      <c r="J24" s="139"/>
      <c r="K24" s="60"/>
      <c r="L24" s="60"/>
      <c r="M24" s="60"/>
      <c r="N24" s="60"/>
      <c r="O24" s="139"/>
      <c r="P24" s="139"/>
      <c r="Q24" s="60"/>
      <c r="R24" s="60"/>
      <c r="S24" s="411">
        <f>SUM('[6]Presupuesto G.'!U33:U42)</f>
        <v>6330000</v>
      </c>
      <c r="T24" s="59" t="s">
        <v>857</v>
      </c>
    </row>
    <row r="25" spans="1:20" ht="85.5">
      <c r="A25" s="34" t="s">
        <v>1143</v>
      </c>
      <c r="B25" s="34" t="s">
        <v>858</v>
      </c>
      <c r="C25" s="34" t="s">
        <v>859</v>
      </c>
      <c r="D25" s="55" t="s">
        <v>78</v>
      </c>
      <c r="E25" s="36">
        <v>3</v>
      </c>
      <c r="F25" s="34" t="s">
        <v>1144</v>
      </c>
      <c r="G25" s="36"/>
      <c r="H25" s="36"/>
      <c r="I25" s="36"/>
      <c r="J25" s="36"/>
      <c r="K25" s="36"/>
      <c r="L25" s="36"/>
      <c r="M25" s="36"/>
      <c r="N25" s="36"/>
      <c r="O25" s="36"/>
      <c r="P25" s="36"/>
      <c r="Q25" s="36"/>
      <c r="R25" s="36">
        <v>3</v>
      </c>
      <c r="S25" s="409">
        <v>0</v>
      </c>
      <c r="T25" s="55" t="s">
        <v>860</v>
      </c>
    </row>
    <row r="26" spans="1:20" ht="85.5">
      <c r="A26" s="30" t="s">
        <v>1145</v>
      </c>
      <c r="B26" s="30" t="s">
        <v>841</v>
      </c>
      <c r="C26" s="30" t="s">
        <v>861</v>
      </c>
      <c r="D26" s="75" t="s">
        <v>839</v>
      </c>
      <c r="E26" s="216">
        <v>1</v>
      </c>
      <c r="F26" s="57" t="s">
        <v>1146</v>
      </c>
      <c r="G26" s="32"/>
      <c r="H26" s="32"/>
      <c r="I26" s="216">
        <v>0.1</v>
      </c>
      <c r="J26" s="216">
        <v>0.1</v>
      </c>
      <c r="K26" s="216">
        <v>0.1</v>
      </c>
      <c r="L26" s="216">
        <v>0.1</v>
      </c>
      <c r="M26" s="216">
        <v>0.2</v>
      </c>
      <c r="N26" s="216">
        <v>0.2</v>
      </c>
      <c r="O26" s="216">
        <v>0.2</v>
      </c>
      <c r="P26" s="32"/>
      <c r="Q26" s="32"/>
      <c r="R26" s="32"/>
      <c r="S26" s="410">
        <f>SUM('[6]Presupuesto G.'!U43:U44)</f>
        <v>6072000</v>
      </c>
      <c r="T26" s="75" t="s">
        <v>862</v>
      </c>
    </row>
    <row r="27" spans="1:20" ht="90" customHeight="1">
      <c r="A27" s="706" t="s">
        <v>1147</v>
      </c>
      <c r="B27" s="706" t="s">
        <v>841</v>
      </c>
      <c r="C27" s="706" t="s">
        <v>863</v>
      </c>
      <c r="D27" s="55" t="s">
        <v>839</v>
      </c>
      <c r="E27" s="67">
        <v>1</v>
      </c>
      <c r="F27" s="34" t="s">
        <v>1148</v>
      </c>
      <c r="G27" s="36"/>
      <c r="H27" s="36"/>
      <c r="I27" s="36"/>
      <c r="J27" s="36"/>
      <c r="K27" s="36"/>
      <c r="L27" s="36"/>
      <c r="M27" s="67">
        <v>0.1</v>
      </c>
      <c r="N27" s="67">
        <v>0.1</v>
      </c>
      <c r="O27" s="67">
        <v>0.2</v>
      </c>
      <c r="P27" s="67">
        <v>0.4</v>
      </c>
      <c r="Q27" s="67">
        <v>0.2</v>
      </c>
      <c r="R27" s="36"/>
      <c r="S27" s="912">
        <f>SUM('[6]Presupuesto G.'!U45:U46)</f>
        <v>20350000</v>
      </c>
      <c r="T27" s="55" t="s">
        <v>845</v>
      </c>
    </row>
    <row r="28" spans="1:20" ht="85.5">
      <c r="A28" s="707"/>
      <c r="B28" s="707"/>
      <c r="C28" s="707"/>
      <c r="D28" s="55" t="s">
        <v>839</v>
      </c>
      <c r="E28" s="67">
        <v>1</v>
      </c>
      <c r="F28" s="34" t="s">
        <v>1149</v>
      </c>
      <c r="G28" s="36"/>
      <c r="H28" s="36"/>
      <c r="I28" s="36"/>
      <c r="J28" s="36"/>
      <c r="K28" s="36"/>
      <c r="L28" s="36"/>
      <c r="M28" s="67">
        <v>0.1</v>
      </c>
      <c r="N28" s="67">
        <v>0.1</v>
      </c>
      <c r="O28" s="67">
        <v>0.2</v>
      </c>
      <c r="P28" s="67">
        <v>0.4</v>
      </c>
      <c r="Q28" s="67">
        <v>0.2</v>
      </c>
      <c r="R28" s="36"/>
      <c r="S28" s="913"/>
      <c r="T28" s="55" t="s">
        <v>864</v>
      </c>
    </row>
    <row r="29" spans="1:20" ht="71.25">
      <c r="A29" s="30" t="s">
        <v>1150</v>
      </c>
      <c r="B29" s="30" t="s">
        <v>865</v>
      </c>
      <c r="C29" s="30" t="s">
        <v>863</v>
      </c>
      <c r="D29" s="75" t="s">
        <v>839</v>
      </c>
      <c r="E29" s="216">
        <v>1</v>
      </c>
      <c r="F29" s="57" t="s">
        <v>1151</v>
      </c>
      <c r="G29" s="32"/>
      <c r="H29" s="32"/>
      <c r="I29" s="32"/>
      <c r="J29" s="32"/>
      <c r="K29" s="32"/>
      <c r="L29" s="32"/>
      <c r="M29" s="216">
        <v>0.1</v>
      </c>
      <c r="N29" s="216">
        <v>0.1</v>
      </c>
      <c r="O29" s="216">
        <v>0.2</v>
      </c>
      <c r="P29" s="216">
        <v>0.4</v>
      </c>
      <c r="Q29" s="216">
        <v>0.2</v>
      </c>
      <c r="R29" s="32"/>
      <c r="S29" s="410">
        <f>'[6]Presupuesto G.'!U47</f>
        <v>4307875</v>
      </c>
      <c r="T29" s="59" t="s">
        <v>843</v>
      </c>
    </row>
    <row r="30" spans="1:20" ht="71.25">
      <c r="A30" s="34" t="s">
        <v>1152</v>
      </c>
      <c r="B30" s="34" t="s">
        <v>865</v>
      </c>
      <c r="C30" s="34" t="s">
        <v>863</v>
      </c>
      <c r="D30" s="55" t="s">
        <v>839</v>
      </c>
      <c r="E30" s="67">
        <v>1</v>
      </c>
      <c r="F30" s="34" t="s">
        <v>1153</v>
      </c>
      <c r="G30" s="36"/>
      <c r="H30" s="36"/>
      <c r="I30" s="36"/>
      <c r="J30" s="36"/>
      <c r="K30" s="36"/>
      <c r="L30" s="36"/>
      <c r="M30" s="67">
        <v>0.1</v>
      </c>
      <c r="N30" s="67">
        <v>0.1</v>
      </c>
      <c r="O30" s="67">
        <v>0.2</v>
      </c>
      <c r="P30" s="67">
        <v>0.4</v>
      </c>
      <c r="Q30" s="67">
        <v>0.2</v>
      </c>
      <c r="R30" s="36"/>
      <c r="S30" s="409"/>
      <c r="T30" s="55" t="s">
        <v>843</v>
      </c>
    </row>
    <row r="31" spans="1:20" ht="71.25">
      <c r="A31" s="30" t="s">
        <v>1154</v>
      </c>
      <c r="B31" s="30" t="s">
        <v>841</v>
      </c>
      <c r="C31" s="30" t="s">
        <v>866</v>
      </c>
      <c r="D31" s="75" t="s">
        <v>839</v>
      </c>
      <c r="E31" s="216">
        <v>1</v>
      </c>
      <c r="F31" s="30" t="s">
        <v>1155</v>
      </c>
      <c r="G31" s="32"/>
      <c r="H31" s="32"/>
      <c r="I31" s="32"/>
      <c r="J31" s="32"/>
      <c r="K31" s="32"/>
      <c r="L31" s="32"/>
      <c r="M31" s="216">
        <v>0.1</v>
      </c>
      <c r="N31" s="216">
        <v>0.1</v>
      </c>
      <c r="O31" s="216">
        <v>0.2</v>
      </c>
      <c r="P31" s="216">
        <v>0.4</v>
      </c>
      <c r="Q31" s="216">
        <v>0.2</v>
      </c>
      <c r="R31" s="32"/>
      <c r="S31" s="410">
        <f>'[6]Presupuesto G.'!U49</f>
        <v>4400000</v>
      </c>
      <c r="T31" s="59" t="s">
        <v>843</v>
      </c>
    </row>
    <row r="32" spans="1:20" ht="57">
      <c r="A32" s="34" t="s">
        <v>1156</v>
      </c>
      <c r="B32" s="34" t="s">
        <v>867</v>
      </c>
      <c r="C32" s="34" t="s">
        <v>868</v>
      </c>
      <c r="D32" s="55" t="s">
        <v>78</v>
      </c>
      <c r="E32" s="347">
        <v>6</v>
      </c>
      <c r="F32" s="34" t="s">
        <v>1157</v>
      </c>
      <c r="G32" s="36">
        <v>2</v>
      </c>
      <c r="H32" s="36">
        <v>2</v>
      </c>
      <c r="I32" s="36">
        <v>2</v>
      </c>
      <c r="J32" s="36"/>
      <c r="K32" s="36"/>
      <c r="L32" s="36"/>
      <c r="M32" s="36"/>
      <c r="N32" s="36"/>
      <c r="O32" s="36"/>
      <c r="P32" s="36"/>
      <c r="Q32" s="36"/>
      <c r="R32" s="36"/>
      <c r="S32" s="409">
        <f>'[6]Presupuesto G.'!U50</f>
        <v>1375000</v>
      </c>
      <c r="T32" s="55" t="s">
        <v>869</v>
      </c>
    </row>
  </sheetData>
  <mergeCells count="24">
    <mergeCell ref="A20:A22"/>
    <mergeCell ref="B20:B22"/>
    <mergeCell ref="T20:T22"/>
    <mergeCell ref="A23:A24"/>
    <mergeCell ref="A27:A28"/>
    <mergeCell ref="B27:B28"/>
    <mergeCell ref="C27:C28"/>
    <mergeCell ref="S27:S28"/>
    <mergeCell ref="T14:T15"/>
    <mergeCell ref="A7:T7"/>
    <mergeCell ref="A8:T8"/>
    <mergeCell ref="B10:T10"/>
    <mergeCell ref="B11:T11"/>
    <mergeCell ref="B12:T12"/>
    <mergeCell ref="A14:A15"/>
    <mergeCell ref="B14:B15"/>
    <mergeCell ref="C14:C15"/>
    <mergeCell ref="D14:E14"/>
    <mergeCell ref="F14:F15"/>
    <mergeCell ref="G14:I14"/>
    <mergeCell ref="J14:L14"/>
    <mergeCell ref="M14:O14"/>
    <mergeCell ref="P14:R14"/>
    <mergeCell ref="S14:S1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D89C4-E1D2-4899-844D-B2990A5B8020}">
  <dimension ref="A8:V51"/>
  <sheetViews>
    <sheetView showGridLines="0" zoomScale="70" zoomScaleNormal="70" workbookViewId="0">
      <selection activeCell="A15" sqref="A15:A16"/>
    </sheetView>
  </sheetViews>
  <sheetFormatPr defaultColWidth="11.42578125" defaultRowHeight="14.25"/>
  <cols>
    <col min="1" max="1" width="42.42578125" style="27" customWidth="1"/>
    <col min="2" max="2" width="26.28515625" style="27" customWidth="1"/>
    <col min="3" max="3" width="20" style="64" customWidth="1"/>
    <col min="4" max="4" width="20.85546875" style="27" customWidth="1"/>
    <col min="5" max="5" width="12.5703125" style="27" customWidth="1"/>
    <col min="6" max="6" width="13.85546875" style="47" customWidth="1"/>
    <col min="7" max="7" width="11.42578125" style="47"/>
    <col min="8" max="8" width="19.7109375" style="352" bestFit="1" customWidth="1"/>
    <col min="9" max="9" width="18.42578125" style="27" bestFit="1" customWidth="1"/>
    <col min="10" max="10" width="18.42578125" style="27" customWidth="1"/>
    <col min="11" max="13" width="18.42578125" style="27" bestFit="1" customWidth="1"/>
    <col min="14" max="14" width="19.5703125" style="27" bestFit="1" customWidth="1"/>
    <col min="15" max="15" width="8.5703125" style="27" customWidth="1"/>
    <col min="16" max="16" width="9.28515625" style="27" customWidth="1"/>
    <col min="17" max="17" width="18.28515625" style="27" bestFit="1" customWidth="1"/>
    <col min="18" max="18" width="12.5703125" style="27" customWidth="1"/>
    <col min="19" max="19" width="14.5703125" style="27" customWidth="1"/>
    <col min="20" max="20" width="12.5703125" style="27" customWidth="1"/>
    <col min="21" max="21" width="24.5703125" style="353" customWidth="1"/>
    <col min="22" max="22" width="21" style="27" customWidth="1"/>
    <col min="23" max="23" width="9.42578125" style="27" customWidth="1"/>
    <col min="24" max="24" width="5" style="27" customWidth="1"/>
    <col min="25" max="25" width="3.5703125" style="27" customWidth="1"/>
    <col min="26" max="26" width="8.7109375" style="27" customWidth="1"/>
    <col min="27" max="16384" width="11.42578125" style="27"/>
  </cols>
  <sheetData>
    <row r="8" spans="1:22" ht="28.5" customHeight="1">
      <c r="A8" s="698" t="s">
        <v>60</v>
      </c>
      <c r="B8" s="698"/>
      <c r="C8" s="698"/>
      <c r="D8" s="698"/>
      <c r="E8" s="698"/>
      <c r="F8" s="698"/>
      <c r="G8" s="698"/>
      <c r="H8" s="698"/>
      <c r="I8" s="698"/>
      <c r="J8" s="698"/>
      <c r="K8" s="698"/>
      <c r="L8" s="698"/>
      <c r="M8" s="698"/>
      <c r="N8" s="698"/>
      <c r="O8" s="698"/>
      <c r="P8" s="698"/>
      <c r="Q8" s="698"/>
      <c r="R8" s="698"/>
      <c r="S8" s="698"/>
      <c r="T8" s="698"/>
      <c r="U8" s="698"/>
      <c r="V8" s="698"/>
    </row>
    <row r="9" spans="1:22" ht="20.25">
      <c r="A9" s="698" t="s">
        <v>61</v>
      </c>
      <c r="B9" s="698"/>
      <c r="C9" s="698"/>
      <c r="D9" s="698"/>
      <c r="E9" s="698"/>
      <c r="F9" s="698"/>
      <c r="G9" s="698"/>
      <c r="H9" s="698"/>
      <c r="I9" s="698"/>
      <c r="J9" s="698"/>
      <c r="K9" s="698"/>
      <c r="L9" s="698"/>
      <c r="M9" s="698"/>
      <c r="N9" s="698"/>
      <c r="O9" s="698"/>
      <c r="P9" s="698"/>
      <c r="Q9" s="698"/>
      <c r="R9" s="698"/>
      <c r="S9" s="698"/>
      <c r="T9" s="698"/>
      <c r="U9" s="698"/>
      <c r="V9" s="698"/>
    </row>
    <row r="10" spans="1:22" ht="20.25">
      <c r="A10" s="698" t="s">
        <v>137</v>
      </c>
      <c r="B10" s="698"/>
      <c r="C10" s="698"/>
      <c r="D10" s="698"/>
      <c r="E10" s="698"/>
      <c r="F10" s="698"/>
      <c r="G10" s="698"/>
      <c r="H10" s="698"/>
      <c r="I10" s="698"/>
      <c r="J10" s="698"/>
      <c r="K10" s="698"/>
      <c r="L10" s="698"/>
      <c r="M10" s="698"/>
      <c r="N10" s="698"/>
      <c r="O10" s="698"/>
      <c r="P10" s="698"/>
      <c r="Q10" s="698"/>
      <c r="R10" s="698"/>
      <c r="S10" s="698"/>
      <c r="T10" s="698"/>
      <c r="U10" s="698"/>
      <c r="V10" s="698"/>
    </row>
    <row r="11" spans="1:22" ht="20.25">
      <c r="A11" s="412" t="s">
        <v>62</v>
      </c>
      <c r="B11" s="699" t="s">
        <v>870</v>
      </c>
      <c r="C11" s="699"/>
      <c r="D11" s="699"/>
      <c r="E11" s="699"/>
      <c r="F11" s="699"/>
      <c r="G11" s="699"/>
      <c r="H11" s="699"/>
      <c r="I11" s="699"/>
      <c r="J11" s="699"/>
      <c r="K11" s="699"/>
      <c r="L11" s="699"/>
      <c r="M11" s="699"/>
      <c r="N11" s="699"/>
      <c r="O11" s="699"/>
      <c r="P11" s="699"/>
      <c r="Q11" s="699"/>
      <c r="R11" s="699"/>
      <c r="S11" s="699"/>
      <c r="T11" s="699"/>
      <c r="U11" s="699"/>
      <c r="V11" s="699"/>
    </row>
    <row r="12" spans="1:22" ht="20.25">
      <c r="A12" s="412" t="s">
        <v>63</v>
      </c>
      <c r="B12" s="699" t="s">
        <v>155</v>
      </c>
      <c r="C12" s="699"/>
      <c r="D12" s="699"/>
      <c r="E12" s="699"/>
      <c r="F12" s="699"/>
      <c r="G12" s="699"/>
      <c r="H12" s="699"/>
      <c r="I12" s="699"/>
      <c r="J12" s="699"/>
      <c r="K12" s="699"/>
      <c r="L12" s="699"/>
      <c r="M12" s="699"/>
      <c r="N12" s="699"/>
      <c r="O12" s="699"/>
      <c r="P12" s="699"/>
      <c r="Q12" s="699"/>
      <c r="R12" s="699"/>
      <c r="S12" s="699"/>
      <c r="T12" s="699"/>
      <c r="U12" s="699"/>
      <c r="V12" s="699"/>
    </row>
    <row r="13" spans="1:22" ht="20.25">
      <c r="A13" s="412" t="s">
        <v>65</v>
      </c>
      <c r="B13" s="700" t="s">
        <v>836</v>
      </c>
      <c r="C13" s="701"/>
      <c r="D13" s="701"/>
      <c r="E13" s="701"/>
      <c r="F13" s="701"/>
      <c r="G13" s="701"/>
      <c r="H13" s="701"/>
      <c r="I13" s="701"/>
      <c r="J13" s="701"/>
      <c r="K13" s="701"/>
      <c r="L13" s="701"/>
      <c r="M13" s="701"/>
      <c r="N13" s="701"/>
      <c r="O13" s="701"/>
      <c r="P13" s="701"/>
      <c r="Q13" s="701"/>
      <c r="R13" s="701"/>
      <c r="S13" s="701"/>
      <c r="T13" s="701"/>
      <c r="U13" s="701"/>
      <c r="V13" s="702"/>
    </row>
    <row r="15" spans="1:22" ht="18.75" customHeight="1">
      <c r="A15" s="906" t="s">
        <v>66</v>
      </c>
      <c r="B15" s="905" t="s">
        <v>70</v>
      </c>
      <c r="C15" s="928" t="s">
        <v>23</v>
      </c>
      <c r="D15" s="928" t="s">
        <v>139</v>
      </c>
      <c r="E15" s="928" t="s">
        <v>184</v>
      </c>
      <c r="F15" s="928" t="s">
        <v>141</v>
      </c>
      <c r="G15" s="928" t="s">
        <v>101</v>
      </c>
      <c r="H15" s="930" t="s">
        <v>142</v>
      </c>
      <c r="I15" s="909" t="s">
        <v>71</v>
      </c>
      <c r="J15" s="909"/>
      <c r="K15" s="909"/>
      <c r="L15" s="909" t="s">
        <v>72</v>
      </c>
      <c r="M15" s="909"/>
      <c r="N15" s="909"/>
      <c r="O15" s="909" t="s">
        <v>73</v>
      </c>
      <c r="P15" s="909"/>
      <c r="Q15" s="909"/>
      <c r="R15" s="909" t="s">
        <v>74</v>
      </c>
      <c r="S15" s="909"/>
      <c r="T15" s="909"/>
      <c r="U15" s="927" t="s">
        <v>75</v>
      </c>
      <c r="V15" s="905" t="s">
        <v>185</v>
      </c>
    </row>
    <row r="16" spans="1:22" s="53" customFormat="1" ht="32.25" customHeight="1">
      <c r="A16" s="907"/>
      <c r="B16" s="905"/>
      <c r="C16" s="929"/>
      <c r="D16" s="929"/>
      <c r="E16" s="929"/>
      <c r="F16" s="929"/>
      <c r="G16" s="929"/>
      <c r="H16" s="931"/>
      <c r="I16" s="408" t="s">
        <v>79</v>
      </c>
      <c r="J16" s="408" t="s">
        <v>80</v>
      </c>
      <c r="K16" s="408" t="s">
        <v>81</v>
      </c>
      <c r="L16" s="408" t="s">
        <v>82</v>
      </c>
      <c r="M16" s="408" t="s">
        <v>83</v>
      </c>
      <c r="N16" s="408" t="s">
        <v>84</v>
      </c>
      <c r="O16" s="408" t="s">
        <v>85</v>
      </c>
      <c r="P16" s="408" t="s">
        <v>86</v>
      </c>
      <c r="Q16" s="408" t="s">
        <v>87</v>
      </c>
      <c r="R16" s="408" t="s">
        <v>88</v>
      </c>
      <c r="S16" s="408" t="s">
        <v>89</v>
      </c>
      <c r="T16" s="408" t="s">
        <v>90</v>
      </c>
      <c r="U16" s="927"/>
      <c r="V16" s="905"/>
    </row>
    <row r="17" spans="1:22" ht="57">
      <c r="A17" s="54" t="s">
        <v>1128</v>
      </c>
      <c r="B17" s="34" t="s">
        <v>1129</v>
      </c>
      <c r="C17" s="55" t="s">
        <v>871</v>
      </c>
      <c r="D17" s="55" t="s">
        <v>872</v>
      </c>
      <c r="E17" s="55"/>
      <c r="F17" s="36" t="s">
        <v>150</v>
      </c>
      <c r="G17" s="36">
        <v>2</v>
      </c>
      <c r="H17" s="348">
        <v>1656000</v>
      </c>
      <c r="I17" s="35"/>
      <c r="J17" s="35"/>
      <c r="K17" s="35"/>
      <c r="L17" s="35">
        <f>H17</f>
        <v>1656000</v>
      </c>
      <c r="M17" s="35"/>
      <c r="N17" s="35"/>
      <c r="O17" s="35"/>
      <c r="P17" s="35"/>
      <c r="Q17" s="35"/>
      <c r="R17" s="35"/>
      <c r="S17" s="35"/>
      <c r="T17" s="35"/>
      <c r="U17" s="93">
        <f t="shared" ref="U17:U23" si="0">SUM(I17:T17)</f>
        <v>1656000</v>
      </c>
      <c r="V17" s="70"/>
    </row>
    <row r="18" spans="1:22" ht="57">
      <c r="A18" s="30" t="s">
        <v>1130</v>
      </c>
      <c r="B18" s="30" t="s">
        <v>1131</v>
      </c>
      <c r="C18" s="75" t="s">
        <v>1158</v>
      </c>
      <c r="D18" s="32"/>
      <c r="E18" s="32"/>
      <c r="F18" s="32"/>
      <c r="G18" s="32"/>
      <c r="H18" s="413"/>
      <c r="I18" s="31"/>
      <c r="J18" s="31"/>
      <c r="K18" s="31"/>
      <c r="L18" s="31"/>
      <c r="M18" s="31"/>
      <c r="N18" s="31"/>
      <c r="O18" s="31"/>
      <c r="P18" s="31"/>
      <c r="Q18" s="31"/>
      <c r="R18" s="31"/>
      <c r="S18" s="31"/>
      <c r="T18" s="31"/>
      <c r="U18" s="98">
        <f t="shared" si="0"/>
        <v>0</v>
      </c>
      <c r="V18" s="97"/>
    </row>
    <row r="19" spans="1:22" ht="71.25">
      <c r="A19" s="34" t="s">
        <v>1132</v>
      </c>
      <c r="B19" s="34" t="s">
        <v>1133</v>
      </c>
      <c r="C19" s="55" t="s">
        <v>871</v>
      </c>
      <c r="D19" s="55" t="s">
        <v>872</v>
      </c>
      <c r="E19" s="55"/>
      <c r="F19" s="36" t="s">
        <v>150</v>
      </c>
      <c r="G19" s="36">
        <v>2</v>
      </c>
      <c r="H19" s="348">
        <v>1656000</v>
      </c>
      <c r="I19" s="35"/>
      <c r="J19" s="35"/>
      <c r="K19" s="35"/>
      <c r="L19" s="35">
        <f>H19</f>
        <v>1656000</v>
      </c>
      <c r="M19" s="35"/>
      <c r="N19" s="35"/>
      <c r="O19" s="35"/>
      <c r="P19" s="35"/>
      <c r="Q19" s="35"/>
      <c r="R19" s="35"/>
      <c r="S19" s="35"/>
      <c r="T19" s="35"/>
      <c r="U19" s="93">
        <f t="shared" si="0"/>
        <v>1656000</v>
      </c>
      <c r="V19" s="70"/>
    </row>
    <row r="20" spans="1:22" ht="85.5">
      <c r="A20" s="30" t="s">
        <v>1134</v>
      </c>
      <c r="B20" s="30" t="s">
        <v>1135</v>
      </c>
      <c r="C20" s="59" t="s">
        <v>1159</v>
      </c>
      <c r="D20" s="59" t="s">
        <v>873</v>
      </c>
      <c r="E20" s="59"/>
      <c r="F20" s="32" t="s">
        <v>150</v>
      </c>
      <c r="G20" s="32">
        <v>1</v>
      </c>
      <c r="H20" s="349">
        <v>1000000</v>
      </c>
      <c r="I20" s="98">
        <v>200000</v>
      </c>
      <c r="J20" s="98">
        <v>200000</v>
      </c>
      <c r="K20" s="98">
        <v>200000</v>
      </c>
      <c r="L20" s="98">
        <v>200000</v>
      </c>
      <c r="M20" s="98">
        <v>200000</v>
      </c>
      <c r="N20" s="98"/>
      <c r="O20" s="98"/>
      <c r="P20" s="98"/>
      <c r="Q20" s="98"/>
      <c r="R20" s="98"/>
      <c r="S20" s="98"/>
      <c r="T20" s="98"/>
      <c r="U20" s="98">
        <f t="shared" si="0"/>
        <v>1000000</v>
      </c>
      <c r="V20" s="97"/>
    </row>
    <row r="21" spans="1:22" ht="42.75">
      <c r="A21" s="706" t="s">
        <v>1136</v>
      </c>
      <c r="B21" s="34" t="s">
        <v>1137</v>
      </c>
      <c r="C21" s="765" t="s">
        <v>874</v>
      </c>
      <c r="D21" s="55" t="s">
        <v>875</v>
      </c>
      <c r="E21" s="55" t="s">
        <v>188</v>
      </c>
      <c r="F21" s="36" t="s">
        <v>147</v>
      </c>
      <c r="G21" s="36">
        <v>1</v>
      </c>
      <c r="H21" s="348">
        <v>100000</v>
      </c>
      <c r="I21" s="93"/>
      <c r="J21" s="93">
        <v>200000</v>
      </c>
      <c r="K21" s="93">
        <v>200000</v>
      </c>
      <c r="L21" s="93">
        <v>200000</v>
      </c>
      <c r="M21" s="93">
        <v>200000</v>
      </c>
      <c r="N21" s="93">
        <v>200000</v>
      </c>
      <c r="O21" s="93"/>
      <c r="P21" s="93"/>
      <c r="Q21" s="93"/>
      <c r="R21" s="93"/>
      <c r="S21" s="93"/>
      <c r="T21" s="93"/>
      <c r="U21" s="93">
        <f t="shared" si="0"/>
        <v>1000000</v>
      </c>
      <c r="V21" s="70"/>
    </row>
    <row r="22" spans="1:22" ht="57">
      <c r="A22" s="707"/>
      <c r="B22" s="34" t="s">
        <v>1139</v>
      </c>
      <c r="C22" s="767"/>
      <c r="D22" s="55" t="s">
        <v>875</v>
      </c>
      <c r="E22" s="55" t="s">
        <v>188</v>
      </c>
      <c r="F22" s="36" t="s">
        <v>147</v>
      </c>
      <c r="G22" s="36">
        <v>1</v>
      </c>
      <c r="H22" s="348">
        <v>100000</v>
      </c>
      <c r="I22" s="35"/>
      <c r="J22" s="35">
        <v>20000</v>
      </c>
      <c r="K22" s="93">
        <v>20000</v>
      </c>
      <c r="L22" s="93">
        <v>20000</v>
      </c>
      <c r="M22" s="93">
        <v>20000</v>
      </c>
      <c r="N22" s="93">
        <v>20000</v>
      </c>
      <c r="O22" s="35"/>
      <c r="P22" s="35"/>
      <c r="Q22" s="35"/>
      <c r="R22" s="35"/>
      <c r="S22" s="35"/>
      <c r="T22" s="35"/>
      <c r="U22" s="93">
        <f t="shared" si="0"/>
        <v>100000</v>
      </c>
      <c r="V22" s="70"/>
    </row>
    <row r="23" spans="1:22" ht="28.5" customHeight="1">
      <c r="A23" s="910" t="s">
        <v>1140</v>
      </c>
      <c r="B23" s="924" t="s">
        <v>1141</v>
      </c>
      <c r="C23" s="924" t="s">
        <v>298</v>
      </c>
      <c r="D23" s="59" t="s">
        <v>876</v>
      </c>
      <c r="E23" s="59" t="s">
        <v>205</v>
      </c>
      <c r="F23" s="60" t="s">
        <v>877</v>
      </c>
      <c r="G23" s="60">
        <v>2</v>
      </c>
      <c r="H23" s="349">
        <v>80000</v>
      </c>
      <c r="I23" s="68"/>
      <c r="J23" s="68"/>
      <c r="K23" s="68"/>
      <c r="L23" s="68">
        <v>80000</v>
      </c>
      <c r="M23" s="68"/>
      <c r="N23" s="68"/>
      <c r="O23" s="68"/>
      <c r="P23" s="68"/>
      <c r="Q23" s="68">
        <v>80000</v>
      </c>
      <c r="R23" s="68"/>
      <c r="S23" s="68"/>
      <c r="T23" s="68"/>
      <c r="U23" s="92">
        <f t="shared" si="0"/>
        <v>160000</v>
      </c>
      <c r="V23" s="350"/>
    </row>
    <row r="24" spans="1:22">
      <c r="A24" s="923"/>
      <c r="B24" s="925"/>
      <c r="C24" s="925"/>
      <c r="D24" s="60" t="s">
        <v>878</v>
      </c>
      <c r="E24" s="60" t="s">
        <v>188</v>
      </c>
      <c r="F24" s="60" t="s">
        <v>879</v>
      </c>
      <c r="G24" s="60">
        <v>2</v>
      </c>
      <c r="H24" s="349">
        <v>122100</v>
      </c>
      <c r="I24" s="68"/>
      <c r="J24" s="68"/>
      <c r="K24" s="68"/>
      <c r="L24" s="68">
        <v>122100</v>
      </c>
      <c r="M24" s="68"/>
      <c r="N24" s="68"/>
      <c r="O24" s="68"/>
      <c r="P24" s="68"/>
      <c r="Q24" s="68">
        <v>122100</v>
      </c>
      <c r="R24" s="68"/>
      <c r="S24" s="68"/>
      <c r="T24" s="68"/>
      <c r="U24" s="92">
        <f t="shared" ref="U24:U50" si="1">SUM(I24:T24)</f>
        <v>244200</v>
      </c>
      <c r="V24" s="350"/>
    </row>
    <row r="25" spans="1:22" ht="42.75">
      <c r="A25" s="923"/>
      <c r="B25" s="925"/>
      <c r="C25" s="925"/>
      <c r="D25" s="59" t="s">
        <v>880</v>
      </c>
      <c r="E25" s="59" t="s">
        <v>881</v>
      </c>
      <c r="F25" s="60" t="s">
        <v>150</v>
      </c>
      <c r="G25" s="60">
        <v>1</v>
      </c>
      <c r="H25" s="349">
        <v>3000</v>
      </c>
      <c r="I25" s="68"/>
      <c r="J25" s="68"/>
      <c r="K25" s="68">
        <v>3000</v>
      </c>
      <c r="L25" s="68"/>
      <c r="M25" s="68"/>
      <c r="N25" s="68"/>
      <c r="O25" s="68"/>
      <c r="P25" s="68"/>
      <c r="Q25" s="68"/>
      <c r="R25" s="68"/>
      <c r="S25" s="68"/>
      <c r="T25" s="68"/>
      <c r="U25" s="92">
        <f t="shared" si="1"/>
        <v>3000</v>
      </c>
      <c r="V25" s="350"/>
    </row>
    <row r="26" spans="1:22">
      <c r="A26" s="923"/>
      <c r="B26" s="925"/>
      <c r="C26" s="925"/>
      <c r="D26" s="59" t="s">
        <v>882</v>
      </c>
      <c r="E26" s="59" t="s">
        <v>345</v>
      </c>
      <c r="F26" s="60" t="s">
        <v>435</v>
      </c>
      <c r="G26" s="60">
        <v>1</v>
      </c>
      <c r="H26" s="349">
        <v>5000</v>
      </c>
      <c r="I26" s="68"/>
      <c r="J26" s="68"/>
      <c r="K26" s="68">
        <v>5000</v>
      </c>
      <c r="L26" s="68"/>
      <c r="M26" s="68"/>
      <c r="N26" s="68"/>
      <c r="O26" s="68"/>
      <c r="P26" s="68"/>
      <c r="Q26" s="68"/>
      <c r="R26" s="68"/>
      <c r="S26" s="68"/>
      <c r="T26" s="68"/>
      <c r="U26" s="92">
        <f t="shared" si="1"/>
        <v>5000</v>
      </c>
      <c r="V26" s="350"/>
    </row>
    <row r="27" spans="1:22">
      <c r="A27" s="923"/>
      <c r="B27" s="925"/>
      <c r="C27" s="925"/>
      <c r="D27" s="59" t="s">
        <v>883</v>
      </c>
      <c r="E27" s="59" t="s">
        <v>881</v>
      </c>
      <c r="F27" s="60" t="s">
        <v>884</v>
      </c>
      <c r="G27" s="60">
        <v>1</v>
      </c>
      <c r="H27" s="349">
        <v>3000</v>
      </c>
      <c r="I27" s="68"/>
      <c r="J27" s="68"/>
      <c r="K27" s="68">
        <v>3000</v>
      </c>
      <c r="L27" s="68"/>
      <c r="M27" s="68"/>
      <c r="N27" s="68"/>
      <c r="O27" s="68"/>
      <c r="P27" s="68"/>
      <c r="Q27" s="68"/>
      <c r="R27" s="68"/>
      <c r="S27" s="68"/>
      <c r="T27" s="68"/>
      <c r="U27" s="92">
        <f t="shared" si="1"/>
        <v>3000</v>
      </c>
      <c r="V27" s="350"/>
    </row>
    <row r="28" spans="1:22" ht="28.5">
      <c r="A28" s="923"/>
      <c r="B28" s="925"/>
      <c r="C28" s="925"/>
      <c r="D28" s="59" t="s">
        <v>885</v>
      </c>
      <c r="E28" s="59" t="s">
        <v>223</v>
      </c>
      <c r="F28" s="60" t="s">
        <v>435</v>
      </c>
      <c r="G28" s="60">
        <v>10</v>
      </c>
      <c r="H28" s="349">
        <v>5000</v>
      </c>
      <c r="I28" s="68"/>
      <c r="J28" s="68"/>
      <c r="K28" s="68">
        <f>H28*10</f>
        <v>50000</v>
      </c>
      <c r="L28" s="68"/>
      <c r="M28" s="68"/>
      <c r="N28" s="68"/>
      <c r="O28" s="68"/>
      <c r="P28" s="68"/>
      <c r="Q28" s="68"/>
      <c r="R28" s="68"/>
      <c r="S28" s="68"/>
      <c r="T28" s="68"/>
      <c r="U28" s="92">
        <f t="shared" si="1"/>
        <v>50000</v>
      </c>
      <c r="V28" s="350"/>
    </row>
    <row r="29" spans="1:22">
      <c r="A29" s="923"/>
      <c r="B29" s="925"/>
      <c r="C29" s="925"/>
      <c r="D29" s="59" t="s">
        <v>886</v>
      </c>
      <c r="E29" s="59" t="s">
        <v>345</v>
      </c>
      <c r="F29" s="60" t="s">
        <v>435</v>
      </c>
      <c r="G29" s="60">
        <v>1</v>
      </c>
      <c r="H29" s="349">
        <v>2000</v>
      </c>
      <c r="I29" s="68"/>
      <c r="J29" s="68"/>
      <c r="K29" s="68">
        <v>2000</v>
      </c>
      <c r="L29" s="68"/>
      <c r="M29" s="68"/>
      <c r="N29" s="68"/>
      <c r="O29" s="68"/>
      <c r="P29" s="68"/>
      <c r="Q29" s="68"/>
      <c r="R29" s="68"/>
      <c r="S29" s="68"/>
      <c r="T29" s="68"/>
      <c r="U29" s="92">
        <f t="shared" si="1"/>
        <v>2000</v>
      </c>
      <c r="V29" s="350"/>
    </row>
    <row r="30" spans="1:22">
      <c r="A30" s="923"/>
      <c r="B30" s="925"/>
      <c r="C30" s="925"/>
      <c r="D30" s="59" t="s">
        <v>887</v>
      </c>
      <c r="E30" s="59" t="s">
        <v>223</v>
      </c>
      <c r="F30" s="60" t="s">
        <v>435</v>
      </c>
      <c r="G30" s="60">
        <v>50</v>
      </c>
      <c r="H30" s="349">
        <v>500</v>
      </c>
      <c r="I30" s="68"/>
      <c r="J30" s="68"/>
      <c r="K30" s="68">
        <f>H30*G30</f>
        <v>25000</v>
      </c>
      <c r="L30" s="68"/>
      <c r="M30" s="68"/>
      <c r="N30" s="68"/>
      <c r="O30" s="68"/>
      <c r="P30" s="68"/>
      <c r="Q30" s="68"/>
      <c r="R30" s="68"/>
      <c r="S30" s="68"/>
      <c r="T30" s="68"/>
      <c r="U30" s="92">
        <f t="shared" si="1"/>
        <v>25000</v>
      </c>
      <c r="V30" s="350"/>
    </row>
    <row r="31" spans="1:22" ht="28.5">
      <c r="A31" s="923"/>
      <c r="B31" s="925"/>
      <c r="C31" s="925"/>
      <c r="D31" s="59" t="s">
        <v>1160</v>
      </c>
      <c r="E31" s="59"/>
      <c r="F31" s="60" t="s">
        <v>1161</v>
      </c>
      <c r="G31" s="60">
        <v>3</v>
      </c>
      <c r="H31" s="349">
        <v>3700</v>
      </c>
      <c r="I31" s="68"/>
      <c r="J31" s="68"/>
      <c r="K31" s="68">
        <f>H31*G31</f>
        <v>11100</v>
      </c>
      <c r="L31" s="68"/>
      <c r="M31" s="68"/>
      <c r="N31" s="68"/>
      <c r="O31" s="68"/>
      <c r="P31" s="68"/>
      <c r="Q31" s="68"/>
      <c r="R31" s="68"/>
      <c r="S31" s="68"/>
      <c r="T31" s="68"/>
      <c r="U31" s="428"/>
      <c r="V31" s="92">
        <f>SUM(I31:T31)</f>
        <v>11100</v>
      </c>
    </row>
    <row r="32" spans="1:22" ht="50.25" customHeight="1">
      <c r="A32" s="923"/>
      <c r="B32" s="926"/>
      <c r="C32" s="926"/>
      <c r="D32" s="57" t="s">
        <v>1162</v>
      </c>
      <c r="E32" s="57"/>
      <c r="F32" s="60" t="s">
        <v>1161</v>
      </c>
      <c r="G32" s="60">
        <v>15</v>
      </c>
      <c r="H32" s="349">
        <v>3700</v>
      </c>
      <c r="I32" s="68"/>
      <c r="J32" s="68"/>
      <c r="K32" s="68">
        <f>H32*G32</f>
        <v>55500</v>
      </c>
      <c r="L32" s="68"/>
      <c r="M32" s="68"/>
      <c r="N32" s="68"/>
      <c r="O32" s="68"/>
      <c r="P32" s="68"/>
      <c r="Q32" s="68"/>
      <c r="R32" s="68"/>
      <c r="S32" s="68"/>
      <c r="T32" s="68"/>
      <c r="U32" s="428"/>
      <c r="V32" s="92">
        <f>SUM(I32:T32)</f>
        <v>55500</v>
      </c>
    </row>
    <row r="33" spans="1:22" ht="75">
      <c r="A33" s="923"/>
      <c r="B33" s="924" t="s">
        <v>1142</v>
      </c>
      <c r="C33" s="924" t="s">
        <v>298</v>
      </c>
      <c r="D33" s="414" t="s">
        <v>1163</v>
      </c>
      <c r="E33" s="59"/>
      <c r="F33" s="60" t="s">
        <v>150</v>
      </c>
      <c r="G33" s="60">
        <v>1</v>
      </c>
      <c r="H33" s="349">
        <v>1500000</v>
      </c>
      <c r="I33" s="68"/>
      <c r="J33" s="68">
        <f>H33*G33</f>
        <v>1500000</v>
      </c>
      <c r="K33" s="68"/>
      <c r="L33" s="68"/>
      <c r="M33" s="68"/>
      <c r="N33" s="68"/>
      <c r="O33" s="68"/>
      <c r="P33" s="68"/>
      <c r="Q33" s="68"/>
      <c r="R33" s="68"/>
      <c r="S33" s="68"/>
      <c r="T33" s="68"/>
      <c r="U33" s="428"/>
      <c r="V33" s="92">
        <f>SUM(I33:T33)</f>
        <v>1500000</v>
      </c>
    </row>
    <row r="34" spans="1:22" ht="57" customHeight="1">
      <c r="A34" s="923"/>
      <c r="B34" s="925"/>
      <c r="C34" s="925"/>
      <c r="D34" s="59" t="s">
        <v>888</v>
      </c>
      <c r="E34" s="59" t="s">
        <v>450</v>
      </c>
      <c r="F34" s="60" t="s">
        <v>590</v>
      </c>
      <c r="G34" s="60">
        <v>1</v>
      </c>
      <c r="H34" s="349">
        <v>250000</v>
      </c>
      <c r="I34" s="68"/>
      <c r="J34" s="68">
        <f t="shared" ref="J34:J42" si="2">H34*G34</f>
        <v>250000</v>
      </c>
      <c r="K34" s="68"/>
      <c r="L34" s="68"/>
      <c r="M34" s="68"/>
      <c r="N34" s="68"/>
      <c r="O34" s="68"/>
      <c r="P34" s="68"/>
      <c r="Q34" s="68"/>
      <c r="R34" s="68"/>
      <c r="S34" s="68"/>
      <c r="T34" s="68"/>
      <c r="U34" s="92">
        <f t="shared" si="1"/>
        <v>250000</v>
      </c>
      <c r="V34" s="350"/>
    </row>
    <row r="35" spans="1:22" ht="71.25">
      <c r="A35" s="923"/>
      <c r="B35" s="925"/>
      <c r="C35" s="925"/>
      <c r="D35" s="59" t="s">
        <v>889</v>
      </c>
      <c r="E35" s="59" t="s">
        <v>450</v>
      </c>
      <c r="F35" s="60" t="s">
        <v>590</v>
      </c>
      <c r="G35" s="60">
        <v>1</v>
      </c>
      <c r="H35" s="349">
        <v>250000</v>
      </c>
      <c r="I35" s="68"/>
      <c r="J35" s="68">
        <f t="shared" si="2"/>
        <v>250000</v>
      </c>
      <c r="K35" s="68"/>
      <c r="L35" s="68"/>
      <c r="M35" s="68"/>
      <c r="N35" s="68"/>
      <c r="O35" s="68"/>
      <c r="P35" s="68"/>
      <c r="Q35" s="68"/>
      <c r="R35" s="68"/>
      <c r="S35" s="68"/>
      <c r="T35" s="68"/>
      <c r="U35" s="92">
        <f t="shared" si="1"/>
        <v>250000</v>
      </c>
      <c r="V35" s="350"/>
    </row>
    <row r="36" spans="1:22" ht="71.25">
      <c r="A36" s="923"/>
      <c r="B36" s="925"/>
      <c r="C36" s="925"/>
      <c r="D36" s="59" t="s">
        <v>890</v>
      </c>
      <c r="E36" s="59" t="s">
        <v>450</v>
      </c>
      <c r="F36" s="60" t="s">
        <v>590</v>
      </c>
      <c r="G36" s="60">
        <v>1</v>
      </c>
      <c r="H36" s="349">
        <v>250000</v>
      </c>
      <c r="I36" s="68"/>
      <c r="J36" s="68">
        <f t="shared" si="2"/>
        <v>250000</v>
      </c>
      <c r="K36" s="68"/>
      <c r="L36" s="68"/>
      <c r="M36" s="68"/>
      <c r="N36" s="68"/>
      <c r="O36" s="68"/>
      <c r="P36" s="68"/>
      <c r="Q36" s="68"/>
      <c r="R36" s="68"/>
      <c r="S36" s="68"/>
      <c r="T36" s="68"/>
      <c r="U36" s="92">
        <f t="shared" si="1"/>
        <v>250000</v>
      </c>
      <c r="V36" s="350"/>
    </row>
    <row r="37" spans="1:22" ht="71.25">
      <c r="A37" s="923"/>
      <c r="B37" s="925"/>
      <c r="C37" s="926"/>
      <c r="D37" s="59" t="s">
        <v>891</v>
      </c>
      <c r="E37" s="59" t="s">
        <v>450</v>
      </c>
      <c r="F37" s="60" t="s">
        <v>590</v>
      </c>
      <c r="G37" s="60">
        <v>1</v>
      </c>
      <c r="H37" s="349">
        <v>250000</v>
      </c>
      <c r="I37" s="68"/>
      <c r="J37" s="68">
        <f t="shared" si="2"/>
        <v>250000</v>
      </c>
      <c r="K37" s="68"/>
      <c r="L37" s="68"/>
      <c r="M37" s="68"/>
      <c r="N37" s="68"/>
      <c r="O37" s="68"/>
      <c r="P37" s="68"/>
      <c r="Q37" s="68"/>
      <c r="R37" s="68"/>
      <c r="S37" s="68"/>
      <c r="T37" s="68"/>
      <c r="U37" s="92">
        <f t="shared" si="1"/>
        <v>250000</v>
      </c>
      <c r="V37" s="350"/>
    </row>
    <row r="38" spans="1:22" ht="42.75" customHeight="1">
      <c r="A38" s="923"/>
      <c r="B38" s="925"/>
      <c r="C38" s="924" t="s">
        <v>298</v>
      </c>
      <c r="D38" s="57" t="s">
        <v>1164</v>
      </c>
      <c r="E38" s="59"/>
      <c r="F38" s="60" t="s">
        <v>150</v>
      </c>
      <c r="G38" s="60">
        <v>10</v>
      </c>
      <c r="H38" s="349">
        <v>40000</v>
      </c>
      <c r="I38" s="68"/>
      <c r="J38" s="68">
        <f t="shared" si="2"/>
        <v>400000</v>
      </c>
      <c r="K38" s="68"/>
      <c r="L38" s="68"/>
      <c r="M38" s="68"/>
      <c r="N38" s="68"/>
      <c r="O38" s="68"/>
      <c r="P38" s="68"/>
      <c r="Q38" s="68"/>
      <c r="R38" s="68"/>
      <c r="S38" s="68"/>
      <c r="T38" s="68"/>
      <c r="U38" s="428"/>
      <c r="V38" s="92">
        <f>SUM(I38:T38)</f>
        <v>400000</v>
      </c>
    </row>
    <row r="39" spans="1:22" ht="66" customHeight="1">
      <c r="A39" s="923"/>
      <c r="B39" s="925"/>
      <c r="C39" s="925"/>
      <c r="D39" s="414" t="s">
        <v>1165</v>
      </c>
      <c r="E39" s="59"/>
      <c r="F39" s="60" t="s">
        <v>150</v>
      </c>
      <c r="G39" s="60">
        <v>1</v>
      </c>
      <c r="H39" s="349">
        <v>2000000</v>
      </c>
      <c r="I39" s="68"/>
      <c r="J39" s="68">
        <f t="shared" si="2"/>
        <v>2000000</v>
      </c>
      <c r="K39" s="68"/>
      <c r="L39" s="68"/>
      <c r="M39" s="68"/>
      <c r="N39" s="68"/>
      <c r="O39" s="68"/>
      <c r="P39" s="68"/>
      <c r="Q39" s="68"/>
      <c r="R39" s="68"/>
      <c r="S39" s="68"/>
      <c r="T39" s="68"/>
      <c r="U39" s="428"/>
      <c r="V39" s="92">
        <f>SUM(I39:T39)</f>
        <v>2000000</v>
      </c>
    </row>
    <row r="40" spans="1:22" ht="66" customHeight="1">
      <c r="A40" s="923"/>
      <c r="B40" s="925"/>
      <c r="C40" s="925"/>
      <c r="D40" s="57" t="s">
        <v>52</v>
      </c>
      <c r="E40" s="59"/>
      <c r="F40" s="60" t="s">
        <v>150</v>
      </c>
      <c r="G40" s="60">
        <v>1</v>
      </c>
      <c r="H40" s="68">
        <v>80000</v>
      </c>
      <c r="I40" s="68"/>
      <c r="J40" s="68">
        <f t="shared" si="2"/>
        <v>80000</v>
      </c>
      <c r="K40" s="68"/>
      <c r="L40" s="68"/>
      <c r="M40" s="68"/>
      <c r="N40" s="68"/>
      <c r="O40" s="68"/>
      <c r="P40" s="68"/>
      <c r="Q40" s="68"/>
      <c r="R40" s="68"/>
      <c r="S40" s="68"/>
      <c r="T40" s="68"/>
      <c r="U40" s="428"/>
      <c r="V40" s="92">
        <f>SUM(I40:T40)</f>
        <v>80000</v>
      </c>
    </row>
    <row r="41" spans="1:22" ht="66" customHeight="1">
      <c r="A41" s="923"/>
      <c r="B41" s="925"/>
      <c r="C41" s="925"/>
      <c r="D41" s="57" t="s">
        <v>54</v>
      </c>
      <c r="E41" s="59"/>
      <c r="F41" s="60" t="s">
        <v>150</v>
      </c>
      <c r="G41" s="60">
        <v>1</v>
      </c>
      <c r="H41" s="68">
        <v>500000</v>
      </c>
      <c r="I41" s="68"/>
      <c r="J41" s="68"/>
      <c r="K41" s="68"/>
      <c r="L41" s="68"/>
      <c r="M41" s="68"/>
      <c r="N41" s="68">
        <f>G41*H41</f>
        <v>500000</v>
      </c>
      <c r="O41" s="68"/>
      <c r="P41" s="68"/>
      <c r="Q41" s="68"/>
      <c r="R41" s="68"/>
      <c r="S41" s="68"/>
      <c r="T41" s="68"/>
      <c r="U41" s="428"/>
      <c r="V41" s="92">
        <f>SUM(I41:T41)</f>
        <v>500000</v>
      </c>
    </row>
    <row r="42" spans="1:22" ht="28.5">
      <c r="A42" s="911"/>
      <c r="B42" s="926"/>
      <c r="C42" s="926"/>
      <c r="D42" s="57" t="s">
        <v>892</v>
      </c>
      <c r="E42" s="59" t="s">
        <v>593</v>
      </c>
      <c r="F42" s="60" t="s">
        <v>150</v>
      </c>
      <c r="G42" s="60">
        <v>100</v>
      </c>
      <c r="H42" s="349">
        <v>8500</v>
      </c>
      <c r="I42" s="68"/>
      <c r="J42" s="68">
        <f t="shared" si="2"/>
        <v>850000</v>
      </c>
      <c r="K42" s="68"/>
      <c r="L42" s="68"/>
      <c r="M42" s="68"/>
      <c r="N42" s="68"/>
      <c r="O42" s="68"/>
      <c r="P42" s="68"/>
      <c r="Q42" s="68"/>
      <c r="R42" s="68"/>
      <c r="S42" s="68"/>
      <c r="T42" s="68"/>
      <c r="U42" s="428"/>
      <c r="V42" s="92">
        <f>SUM(I42:T42)</f>
        <v>850000</v>
      </c>
    </row>
    <row r="43" spans="1:22" ht="114" customHeight="1">
      <c r="A43" s="706" t="s">
        <v>1145</v>
      </c>
      <c r="B43" s="706" t="s">
        <v>1146</v>
      </c>
      <c r="C43" s="765" t="s">
        <v>893</v>
      </c>
      <c r="D43" s="55" t="s">
        <v>894</v>
      </c>
      <c r="E43" s="55"/>
      <c r="F43" s="36" t="s">
        <v>147</v>
      </c>
      <c r="G43" s="36">
        <v>1</v>
      </c>
      <c r="H43" s="348">
        <v>552000</v>
      </c>
      <c r="I43" s="35">
        <f>H43</f>
        <v>552000</v>
      </c>
      <c r="J43" s="35"/>
      <c r="K43" s="35"/>
      <c r="L43" s="35"/>
      <c r="M43" s="35"/>
      <c r="N43" s="35"/>
      <c r="O43" s="35"/>
      <c r="P43" s="35"/>
      <c r="Q43" s="35"/>
      <c r="R43" s="35"/>
      <c r="S43" s="35"/>
      <c r="T43" s="35"/>
      <c r="U43" s="93">
        <f t="shared" si="1"/>
        <v>552000</v>
      </c>
      <c r="V43" s="70"/>
    </row>
    <row r="44" spans="1:22" ht="57">
      <c r="A44" s="707"/>
      <c r="B44" s="707"/>
      <c r="C44" s="767"/>
      <c r="D44" s="55" t="s">
        <v>895</v>
      </c>
      <c r="E44" s="55"/>
      <c r="F44" s="36" t="s">
        <v>896</v>
      </c>
      <c r="G44" s="36" t="s">
        <v>152</v>
      </c>
      <c r="H44" s="403">
        <v>5520000</v>
      </c>
      <c r="I44" s="35"/>
      <c r="J44" s="35"/>
      <c r="K44" s="35"/>
      <c r="L44" s="35"/>
      <c r="M44" s="35"/>
      <c r="N44" s="35">
        <f>H44</f>
        <v>5520000</v>
      </c>
      <c r="O44" s="35"/>
      <c r="P44" s="35"/>
      <c r="Q44" s="35"/>
      <c r="R44" s="35"/>
      <c r="S44" s="35"/>
      <c r="T44" s="35"/>
      <c r="U44" s="93">
        <f t="shared" si="1"/>
        <v>5520000</v>
      </c>
      <c r="V44" s="70"/>
    </row>
    <row r="45" spans="1:22" ht="90" customHeight="1">
      <c r="A45" s="781" t="s">
        <v>1147</v>
      </c>
      <c r="B45" s="30" t="s">
        <v>1148</v>
      </c>
      <c r="C45" s="792" t="s">
        <v>893</v>
      </c>
      <c r="D45" s="59" t="s">
        <v>897</v>
      </c>
      <c r="E45" s="280"/>
      <c r="F45" s="916" t="s">
        <v>896</v>
      </c>
      <c r="G45" s="916" t="s">
        <v>152</v>
      </c>
      <c r="H45" s="921">
        <v>370000</v>
      </c>
      <c r="I45" s="786"/>
      <c r="J45" s="786"/>
      <c r="K45" s="786"/>
      <c r="L45" s="786"/>
      <c r="M45" s="786"/>
      <c r="N45" s="786">
        <f>H45*55</f>
        <v>20350000</v>
      </c>
      <c r="O45" s="786"/>
      <c r="P45" s="786"/>
      <c r="Q45" s="786"/>
      <c r="R45" s="786"/>
      <c r="S45" s="786"/>
      <c r="T45" s="786"/>
      <c r="U45" s="914">
        <f t="shared" si="1"/>
        <v>20350000</v>
      </c>
      <c r="V45" s="916"/>
    </row>
    <row r="46" spans="1:22" ht="114">
      <c r="A46" s="782"/>
      <c r="B46" s="30" t="s">
        <v>1149</v>
      </c>
      <c r="C46" s="794"/>
      <c r="D46" s="59" t="s">
        <v>898</v>
      </c>
      <c r="E46" s="400"/>
      <c r="F46" s="917"/>
      <c r="G46" s="917"/>
      <c r="H46" s="922"/>
      <c r="I46" s="788"/>
      <c r="J46" s="788"/>
      <c r="K46" s="788"/>
      <c r="L46" s="788"/>
      <c r="M46" s="788"/>
      <c r="N46" s="788"/>
      <c r="O46" s="788"/>
      <c r="P46" s="788"/>
      <c r="Q46" s="788"/>
      <c r="R46" s="788"/>
      <c r="S46" s="788"/>
      <c r="T46" s="788"/>
      <c r="U46" s="915"/>
      <c r="V46" s="917"/>
    </row>
    <row r="47" spans="1:22" ht="185.25">
      <c r="A47" s="34" t="s">
        <v>1166</v>
      </c>
      <c r="B47" s="34" t="s">
        <v>1151</v>
      </c>
      <c r="C47" s="55" t="s">
        <v>893</v>
      </c>
      <c r="D47" s="55" t="s">
        <v>899</v>
      </c>
      <c r="E47" s="55"/>
      <c r="F47" s="36" t="s">
        <v>896</v>
      </c>
      <c r="G47" s="36" t="s">
        <v>900</v>
      </c>
      <c r="H47" s="348">
        <v>78325</v>
      </c>
      <c r="I47" s="35"/>
      <c r="J47" s="35"/>
      <c r="K47" s="35"/>
      <c r="L47" s="35"/>
      <c r="M47" s="35"/>
      <c r="N47" s="35">
        <f>H47*55</f>
        <v>4307875</v>
      </c>
      <c r="O47" s="35"/>
      <c r="P47" s="35"/>
      <c r="Q47" s="35"/>
      <c r="R47" s="35"/>
      <c r="S47" s="35"/>
      <c r="T47" s="35"/>
      <c r="U47" s="93">
        <f t="shared" si="1"/>
        <v>4307875</v>
      </c>
      <c r="V47" s="70"/>
    </row>
    <row r="48" spans="1:22" ht="185.25">
      <c r="A48" s="30" t="s">
        <v>1167</v>
      </c>
      <c r="B48" s="30" t="s">
        <v>1153</v>
      </c>
      <c r="C48" s="75" t="s">
        <v>893</v>
      </c>
      <c r="D48" s="59" t="s">
        <v>899</v>
      </c>
      <c r="E48" s="59"/>
      <c r="F48" s="60" t="s">
        <v>896</v>
      </c>
      <c r="G48" s="60" t="s">
        <v>900</v>
      </c>
      <c r="H48" s="349"/>
      <c r="I48" s="31"/>
      <c r="J48" s="31"/>
      <c r="K48" s="31"/>
      <c r="L48" s="31"/>
      <c r="M48" s="31"/>
      <c r="N48" s="31"/>
      <c r="O48" s="31"/>
      <c r="P48" s="31"/>
      <c r="Q48" s="31"/>
      <c r="R48" s="31"/>
      <c r="S48" s="31"/>
      <c r="T48" s="31"/>
      <c r="U48" s="98">
        <f t="shared" si="1"/>
        <v>0</v>
      </c>
      <c r="V48" s="97"/>
    </row>
    <row r="49" spans="1:22" ht="85.5">
      <c r="A49" s="34" t="s">
        <v>1168</v>
      </c>
      <c r="B49" s="34" t="s">
        <v>1155</v>
      </c>
      <c r="C49" s="55" t="s">
        <v>893</v>
      </c>
      <c r="D49" s="55" t="s">
        <v>901</v>
      </c>
      <c r="E49" s="55"/>
      <c r="F49" s="36"/>
      <c r="G49" s="36"/>
      <c r="H49" s="348">
        <v>80000</v>
      </c>
      <c r="I49" s="35"/>
      <c r="J49" s="35"/>
      <c r="K49" s="35"/>
      <c r="L49" s="35"/>
      <c r="M49" s="35"/>
      <c r="N49" s="35">
        <f>H49*55</f>
        <v>4400000</v>
      </c>
      <c r="O49" s="35"/>
      <c r="P49" s="35"/>
      <c r="Q49" s="35"/>
      <c r="R49" s="35"/>
      <c r="S49" s="35"/>
      <c r="T49" s="35"/>
      <c r="U49" s="93">
        <f t="shared" si="1"/>
        <v>4400000</v>
      </c>
      <c r="V49" s="70"/>
    </row>
    <row r="50" spans="1:22" ht="57">
      <c r="A50" s="30" t="s">
        <v>1156</v>
      </c>
      <c r="B50" s="30" t="s">
        <v>1157</v>
      </c>
      <c r="C50" s="75" t="s">
        <v>27</v>
      </c>
      <c r="D50" s="59" t="s">
        <v>902</v>
      </c>
      <c r="E50" s="59"/>
      <c r="F50" s="60" t="s">
        <v>896</v>
      </c>
      <c r="G50" s="60" t="s">
        <v>152</v>
      </c>
      <c r="H50" s="349">
        <v>25000</v>
      </c>
      <c r="I50" s="68">
        <f>5000*55</f>
        <v>275000</v>
      </c>
      <c r="J50" s="31">
        <f>10000*55</f>
        <v>550000</v>
      </c>
      <c r="K50" s="31">
        <f>10000*55</f>
        <v>550000</v>
      </c>
      <c r="L50" s="31"/>
      <c r="M50" s="31"/>
      <c r="N50" s="31"/>
      <c r="O50" s="31"/>
      <c r="P50" s="31"/>
      <c r="Q50" s="31"/>
      <c r="R50" s="31"/>
      <c r="S50" s="31"/>
      <c r="T50" s="31"/>
      <c r="U50" s="98">
        <f t="shared" si="1"/>
        <v>1375000</v>
      </c>
      <c r="V50" s="97"/>
    </row>
    <row r="51" spans="1:22" ht="15">
      <c r="A51" s="918" t="s">
        <v>903</v>
      </c>
      <c r="B51" s="919"/>
      <c r="C51" s="919"/>
      <c r="D51" s="919"/>
      <c r="E51" s="919"/>
      <c r="F51" s="919"/>
      <c r="G51" s="919"/>
      <c r="H51" s="920"/>
      <c r="I51" s="77">
        <f t="shared" ref="I51:T51" si="3">SUM(I17:I50)</f>
        <v>1027000</v>
      </c>
      <c r="J51" s="77">
        <f t="shared" si="3"/>
        <v>6800000</v>
      </c>
      <c r="K51" s="77">
        <f t="shared" si="3"/>
        <v>1124600</v>
      </c>
      <c r="L51" s="77">
        <f t="shared" si="3"/>
        <v>3934100</v>
      </c>
      <c r="M51" s="77">
        <f t="shared" si="3"/>
        <v>420000</v>
      </c>
      <c r="N51" s="77">
        <f t="shared" si="3"/>
        <v>35297875</v>
      </c>
      <c r="O51" s="77">
        <f t="shared" si="3"/>
        <v>0</v>
      </c>
      <c r="P51" s="77">
        <f t="shared" si="3"/>
        <v>0</v>
      </c>
      <c r="Q51" s="77">
        <f t="shared" si="3"/>
        <v>202100</v>
      </c>
      <c r="R51" s="77">
        <f t="shared" si="3"/>
        <v>0</v>
      </c>
      <c r="S51" s="77">
        <f t="shared" si="3"/>
        <v>0</v>
      </c>
      <c r="T51" s="77">
        <f t="shared" si="3"/>
        <v>0</v>
      </c>
      <c r="U51" s="351">
        <f>SUM(U17:U50)</f>
        <v>43409075</v>
      </c>
      <c r="V51" s="150"/>
    </row>
  </sheetData>
  <mergeCells count="51">
    <mergeCell ref="A15:A16"/>
    <mergeCell ref="U15:U16"/>
    <mergeCell ref="V15:V16"/>
    <mergeCell ref="G15:G16"/>
    <mergeCell ref="H15:H16"/>
    <mergeCell ref="I15:K15"/>
    <mergeCell ref="L15:N15"/>
    <mergeCell ref="O15:Q15"/>
    <mergeCell ref="R15:T15"/>
    <mergeCell ref="B15:B16"/>
    <mergeCell ref="C15:C16"/>
    <mergeCell ref="D15:D16"/>
    <mergeCell ref="E15:E16"/>
    <mergeCell ref="F15:F16"/>
    <mergeCell ref="B13:V13"/>
    <mergeCell ref="A8:V8"/>
    <mergeCell ref="A9:V9"/>
    <mergeCell ref="A10:V10"/>
    <mergeCell ref="B11:V11"/>
    <mergeCell ref="B12:V12"/>
    <mergeCell ref="A21:A22"/>
    <mergeCell ref="C21:C22"/>
    <mergeCell ref="A23:A42"/>
    <mergeCell ref="B23:B32"/>
    <mergeCell ref="B33:B42"/>
    <mergeCell ref="C38:C42"/>
    <mergeCell ref="C33:C37"/>
    <mergeCell ref="C23:C32"/>
    <mergeCell ref="I45:I46"/>
    <mergeCell ref="J45:J46"/>
    <mergeCell ref="A43:A44"/>
    <mergeCell ref="B43:B44"/>
    <mergeCell ref="C43:C44"/>
    <mergeCell ref="A45:A46"/>
    <mergeCell ref="C45:C46"/>
    <mergeCell ref="U45:U46"/>
    <mergeCell ref="V45:V46"/>
    <mergeCell ref="A51:H51"/>
    <mergeCell ref="P45:P46"/>
    <mergeCell ref="Q45:Q46"/>
    <mergeCell ref="R45:R46"/>
    <mergeCell ref="S45:S46"/>
    <mergeCell ref="T45:T46"/>
    <mergeCell ref="K45:K46"/>
    <mergeCell ref="L45:L46"/>
    <mergeCell ref="M45:M46"/>
    <mergeCell ref="N45:N46"/>
    <mergeCell ref="O45:O46"/>
    <mergeCell ref="F45:F46"/>
    <mergeCell ref="G45:G46"/>
    <mergeCell ref="H45:H46"/>
  </mergeCells>
  <pageMargins left="0.7" right="0.7" top="0.75" bottom="0.75" header="0.3" footer="0.3"/>
  <ignoredErrors>
    <ignoredError sqref="U20:U29" formulaRange="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A968A-78C4-4E54-A30A-F2E03894D211}">
  <dimension ref="A8:G50"/>
  <sheetViews>
    <sheetView showGridLines="0" workbookViewId="0">
      <selection activeCell="A9" sqref="A9"/>
    </sheetView>
  </sheetViews>
  <sheetFormatPr defaultRowHeight="14.25"/>
  <cols>
    <col min="1" max="1" width="34" style="27" customWidth="1"/>
    <col min="2" max="2" width="55.28515625" style="46" customWidth="1"/>
    <col min="3" max="3" width="55.28515625" style="27" customWidth="1"/>
    <col min="4" max="4" width="21.42578125" style="27" bestFit="1" customWidth="1"/>
    <col min="5" max="5" width="19.7109375" style="27" bestFit="1" customWidth="1"/>
    <col min="6" max="6" width="30.140625" style="47" bestFit="1" customWidth="1"/>
    <col min="7" max="7" width="20.7109375" style="27" bestFit="1" customWidth="1"/>
    <col min="8" max="16384" width="9.140625" style="27"/>
  </cols>
  <sheetData>
    <row r="8" spans="1:7" ht="18">
      <c r="A8" s="932" t="s">
        <v>17</v>
      </c>
      <c r="B8" s="932"/>
      <c r="C8" s="932"/>
      <c r="D8" s="932"/>
      <c r="E8" s="932"/>
      <c r="F8" s="932"/>
      <c r="G8" s="932"/>
    </row>
    <row r="9" spans="1:7" ht="15">
      <c r="A9" s="28" t="s">
        <v>18</v>
      </c>
      <c r="B9" s="29" t="s">
        <v>19</v>
      </c>
      <c r="C9" s="28" t="s">
        <v>20</v>
      </c>
      <c r="D9" s="28" t="s">
        <v>21</v>
      </c>
      <c r="E9" s="28" t="s">
        <v>22</v>
      </c>
      <c r="F9" s="28" t="s">
        <v>23</v>
      </c>
      <c r="G9" s="28" t="s">
        <v>24</v>
      </c>
    </row>
    <row r="10" spans="1:7" ht="156.75">
      <c r="A10" s="30" t="s">
        <v>25</v>
      </c>
      <c r="B10" s="30" t="s">
        <v>26</v>
      </c>
      <c r="C10" s="31">
        <v>90000</v>
      </c>
      <c r="D10" s="32">
        <v>104</v>
      </c>
      <c r="E10" s="31">
        <f t="shared" ref="E10:E27" si="0">C10*D10</f>
        <v>9360000</v>
      </c>
      <c r="F10" s="32" t="s">
        <v>27</v>
      </c>
      <c r="G10" s="33"/>
    </row>
    <row r="11" spans="1:7" ht="199.5">
      <c r="A11" s="34" t="s">
        <v>28</v>
      </c>
      <c r="B11" s="34" t="s">
        <v>29</v>
      </c>
      <c r="C11" s="35">
        <v>250000</v>
      </c>
      <c r="D11" s="36">
        <v>10</v>
      </c>
      <c r="E11" s="35">
        <f t="shared" si="0"/>
        <v>2500000</v>
      </c>
      <c r="F11" s="36" t="s">
        <v>27</v>
      </c>
      <c r="G11" s="37"/>
    </row>
    <row r="12" spans="1:7" ht="142.5">
      <c r="A12" s="30" t="s">
        <v>30</v>
      </c>
      <c r="B12" s="30" t="s">
        <v>31</v>
      </c>
      <c r="C12" s="31">
        <v>110000</v>
      </c>
      <c r="D12" s="32">
        <v>50</v>
      </c>
      <c r="E12" s="31">
        <f t="shared" si="0"/>
        <v>5500000</v>
      </c>
      <c r="F12" s="32" t="s">
        <v>27</v>
      </c>
      <c r="G12" s="33"/>
    </row>
    <row r="13" spans="1:7" ht="230.25">
      <c r="A13" s="34" t="s">
        <v>32</v>
      </c>
      <c r="B13" s="34" t="s">
        <v>33</v>
      </c>
      <c r="C13" s="35">
        <v>10000</v>
      </c>
      <c r="D13" s="36">
        <v>78</v>
      </c>
      <c r="E13" s="35">
        <f t="shared" si="0"/>
        <v>780000</v>
      </c>
      <c r="F13" s="36" t="s">
        <v>27</v>
      </c>
      <c r="G13" s="37"/>
    </row>
    <row r="14" spans="1:7" ht="171">
      <c r="A14" s="30" t="s">
        <v>34</v>
      </c>
      <c r="B14" s="30" t="s">
        <v>35</v>
      </c>
      <c r="C14" s="31">
        <v>10000</v>
      </c>
      <c r="D14" s="32">
        <v>61</v>
      </c>
      <c r="E14" s="31">
        <f t="shared" si="0"/>
        <v>610000</v>
      </c>
      <c r="F14" s="32" t="s">
        <v>27</v>
      </c>
      <c r="G14" s="33"/>
    </row>
    <row r="15" spans="1:7" ht="28.5">
      <c r="A15" s="34" t="s">
        <v>36</v>
      </c>
      <c r="B15" s="34" t="s">
        <v>37</v>
      </c>
      <c r="C15" s="35">
        <v>25000</v>
      </c>
      <c r="D15" s="36">
        <v>10</v>
      </c>
      <c r="E15" s="35">
        <f t="shared" si="0"/>
        <v>250000</v>
      </c>
      <c r="F15" s="36" t="s">
        <v>27</v>
      </c>
      <c r="G15" s="37"/>
    </row>
    <row r="16" spans="1:7" ht="285">
      <c r="A16" s="30" t="s">
        <v>38</v>
      </c>
      <c r="B16" s="30" t="s">
        <v>39</v>
      </c>
      <c r="C16" s="31">
        <v>550000</v>
      </c>
      <c r="D16" s="32">
        <v>2</v>
      </c>
      <c r="E16" s="31">
        <f t="shared" si="0"/>
        <v>1100000</v>
      </c>
      <c r="F16" s="32" t="s">
        <v>27</v>
      </c>
      <c r="G16" s="33"/>
    </row>
    <row r="17" spans="1:7" ht="242.25">
      <c r="A17" s="34" t="s">
        <v>40</v>
      </c>
      <c r="B17" s="34" t="s">
        <v>41</v>
      </c>
      <c r="C17" s="35">
        <v>65000</v>
      </c>
      <c r="D17" s="36">
        <v>2</v>
      </c>
      <c r="E17" s="35">
        <f t="shared" si="0"/>
        <v>130000</v>
      </c>
      <c r="F17" s="36" t="s">
        <v>27</v>
      </c>
      <c r="G17" s="37"/>
    </row>
    <row r="18" spans="1:7" ht="242.25">
      <c r="A18" s="30" t="s">
        <v>42</v>
      </c>
      <c r="B18" s="30" t="s">
        <v>43</v>
      </c>
      <c r="C18" s="31">
        <v>65000</v>
      </c>
      <c r="D18" s="32">
        <v>6</v>
      </c>
      <c r="E18" s="31">
        <f t="shared" si="0"/>
        <v>390000</v>
      </c>
      <c r="F18" s="32" t="s">
        <v>27</v>
      </c>
      <c r="G18" s="33"/>
    </row>
    <row r="19" spans="1:7" ht="399">
      <c r="A19" s="34" t="s">
        <v>44</v>
      </c>
      <c r="B19" s="34" t="s">
        <v>45</v>
      </c>
      <c r="C19" s="35">
        <v>25000</v>
      </c>
      <c r="D19" s="36">
        <v>8</v>
      </c>
      <c r="E19" s="35">
        <f t="shared" si="0"/>
        <v>200000</v>
      </c>
      <c r="F19" s="36" t="s">
        <v>27</v>
      </c>
      <c r="G19" s="37"/>
    </row>
    <row r="20" spans="1:7" ht="42.75">
      <c r="A20" s="30" t="s">
        <v>46</v>
      </c>
      <c r="B20" s="30"/>
      <c r="C20" s="31">
        <v>50000</v>
      </c>
      <c r="D20" s="32">
        <v>1</v>
      </c>
      <c r="E20" s="31">
        <f t="shared" si="0"/>
        <v>50000</v>
      </c>
      <c r="F20" s="32" t="s">
        <v>27</v>
      </c>
      <c r="G20" s="33"/>
    </row>
    <row r="21" spans="1:7" ht="409.5">
      <c r="A21" s="30" t="s">
        <v>47</v>
      </c>
      <c r="B21" s="30" t="s">
        <v>48</v>
      </c>
      <c r="C21" s="31">
        <v>35000</v>
      </c>
      <c r="D21" s="32">
        <v>2</v>
      </c>
      <c r="E21" s="31">
        <f t="shared" si="0"/>
        <v>70000</v>
      </c>
      <c r="F21" s="32" t="s">
        <v>27</v>
      </c>
      <c r="G21" s="33"/>
    </row>
    <row r="22" spans="1:7" ht="28.5">
      <c r="A22" s="34" t="s">
        <v>49</v>
      </c>
      <c r="B22" s="34" t="s">
        <v>50</v>
      </c>
      <c r="C22" s="38"/>
      <c r="D22" s="36">
        <v>1</v>
      </c>
      <c r="E22" s="35">
        <f t="shared" si="0"/>
        <v>0</v>
      </c>
      <c r="F22" s="36" t="s">
        <v>27</v>
      </c>
      <c r="G22" s="37"/>
    </row>
    <row r="23" spans="1:7" ht="42.75">
      <c r="A23" s="30" t="s">
        <v>51</v>
      </c>
      <c r="B23" s="30"/>
      <c r="C23" s="31">
        <v>150000</v>
      </c>
      <c r="D23" s="32">
        <v>1</v>
      </c>
      <c r="E23" s="31">
        <f t="shared" si="0"/>
        <v>150000</v>
      </c>
      <c r="F23" s="32" t="s">
        <v>27</v>
      </c>
      <c r="G23" s="33"/>
    </row>
    <row r="24" spans="1:7" ht="28.5">
      <c r="A24" s="34" t="s">
        <v>52</v>
      </c>
      <c r="B24" s="34" t="s">
        <v>53</v>
      </c>
      <c r="C24" s="35">
        <v>80000</v>
      </c>
      <c r="D24" s="36">
        <v>1</v>
      </c>
      <c r="E24" s="35">
        <f t="shared" si="0"/>
        <v>80000</v>
      </c>
      <c r="F24" s="36" t="s">
        <v>27</v>
      </c>
      <c r="G24" s="37"/>
    </row>
    <row r="25" spans="1:7" ht="201">
      <c r="A25" s="30" t="s">
        <v>54</v>
      </c>
      <c r="B25" s="30" t="s">
        <v>55</v>
      </c>
      <c r="C25" s="31">
        <v>500000</v>
      </c>
      <c r="D25" s="32">
        <v>1</v>
      </c>
      <c r="E25" s="31">
        <f t="shared" si="0"/>
        <v>500000</v>
      </c>
      <c r="F25" s="32" t="s">
        <v>27</v>
      </c>
      <c r="G25" s="33"/>
    </row>
    <row r="26" spans="1:7" ht="28.5">
      <c r="A26" s="34" t="s">
        <v>56</v>
      </c>
      <c r="B26" s="34" t="s">
        <v>57</v>
      </c>
      <c r="C26" s="35">
        <v>225000</v>
      </c>
      <c r="D26" s="36">
        <v>1</v>
      </c>
      <c r="E26" s="35">
        <f t="shared" si="0"/>
        <v>225000</v>
      </c>
      <c r="F26" s="36" t="s">
        <v>27</v>
      </c>
      <c r="G26" s="37"/>
    </row>
    <row r="27" spans="1:7" ht="28.5">
      <c r="A27" s="30" t="s">
        <v>58</v>
      </c>
      <c r="B27" s="30"/>
      <c r="C27" s="39">
        <v>900000</v>
      </c>
      <c r="D27" s="40">
        <v>2</v>
      </c>
      <c r="E27" s="41">
        <f t="shared" si="0"/>
        <v>1800000</v>
      </c>
      <c r="F27" s="32"/>
      <c r="G27" s="33"/>
    </row>
    <row r="28" spans="1:7">
      <c r="A28" s="37"/>
      <c r="B28" s="34"/>
      <c r="C28" s="42"/>
      <c r="D28" s="37"/>
      <c r="E28" s="37"/>
      <c r="F28" s="36"/>
      <c r="G28" s="37"/>
    </row>
    <row r="29" spans="1:7">
      <c r="A29" s="33"/>
      <c r="B29" s="30"/>
      <c r="C29" s="43"/>
      <c r="D29" s="33"/>
      <c r="E29" s="33"/>
      <c r="F29" s="32"/>
      <c r="G29" s="33"/>
    </row>
    <row r="30" spans="1:7">
      <c r="A30" s="37"/>
      <c r="B30" s="34"/>
      <c r="C30" s="42"/>
      <c r="D30" s="37"/>
      <c r="E30" s="37"/>
      <c r="F30" s="36"/>
      <c r="G30" s="37"/>
    </row>
    <row r="31" spans="1:7">
      <c r="A31" s="33"/>
      <c r="B31" s="30"/>
      <c r="C31" s="43"/>
      <c r="D31" s="33"/>
      <c r="E31" s="33"/>
      <c r="F31" s="32"/>
      <c r="G31" s="33"/>
    </row>
    <row r="32" spans="1:7">
      <c r="A32" s="37"/>
      <c r="B32" s="34"/>
      <c r="C32" s="42"/>
      <c r="D32" s="37"/>
      <c r="E32" s="37"/>
      <c r="F32" s="36"/>
      <c r="G32" s="37"/>
    </row>
    <row r="33" spans="1:7">
      <c r="A33" s="33"/>
      <c r="B33" s="30"/>
      <c r="C33" s="43"/>
      <c r="D33" s="33"/>
      <c r="E33" s="33"/>
      <c r="F33" s="32"/>
      <c r="G33" s="33"/>
    </row>
    <row r="34" spans="1:7">
      <c r="A34" s="37"/>
      <c r="B34" s="34"/>
      <c r="C34" s="42"/>
      <c r="D34" s="37"/>
      <c r="E34" s="37"/>
      <c r="F34" s="36"/>
      <c r="G34" s="37"/>
    </row>
    <row r="35" spans="1:7">
      <c r="A35" s="33"/>
      <c r="B35" s="30"/>
      <c r="C35" s="43"/>
      <c r="D35" s="33"/>
      <c r="E35" s="33"/>
      <c r="F35" s="32"/>
      <c r="G35" s="33"/>
    </row>
    <row r="36" spans="1:7">
      <c r="A36" s="37"/>
      <c r="B36" s="34"/>
      <c r="C36" s="42"/>
      <c r="D36" s="37"/>
      <c r="E36" s="37"/>
      <c r="F36" s="36"/>
      <c r="G36" s="37"/>
    </row>
    <row r="37" spans="1:7">
      <c r="A37" s="33"/>
      <c r="B37" s="30"/>
      <c r="C37" s="43"/>
      <c r="D37" s="33"/>
      <c r="E37" s="33"/>
      <c r="F37" s="32"/>
      <c r="G37" s="33"/>
    </row>
    <row r="38" spans="1:7">
      <c r="A38" s="37"/>
      <c r="B38" s="34"/>
      <c r="C38" s="42"/>
      <c r="D38" s="37"/>
      <c r="E38" s="37"/>
      <c r="F38" s="36"/>
      <c r="G38" s="37"/>
    </row>
    <row r="39" spans="1:7">
      <c r="A39" s="33"/>
      <c r="B39" s="30"/>
      <c r="C39" s="43"/>
      <c r="D39" s="33"/>
      <c r="E39" s="33"/>
      <c r="F39" s="32"/>
      <c r="G39" s="33"/>
    </row>
    <row r="40" spans="1:7">
      <c r="A40" s="37"/>
      <c r="B40" s="34"/>
      <c r="C40" s="42"/>
      <c r="D40" s="37"/>
      <c r="E40" s="37"/>
      <c r="F40" s="36"/>
      <c r="G40" s="37"/>
    </row>
    <row r="41" spans="1:7">
      <c r="A41" s="33"/>
      <c r="B41" s="30"/>
      <c r="C41" s="43"/>
      <c r="D41" s="33"/>
      <c r="E41" s="33"/>
      <c r="F41" s="32"/>
      <c r="G41" s="33"/>
    </row>
    <row r="42" spans="1:7">
      <c r="A42" s="37"/>
      <c r="B42" s="34"/>
      <c r="C42" s="42"/>
      <c r="D42" s="37"/>
      <c r="E42" s="37"/>
      <c r="F42" s="36"/>
      <c r="G42" s="37"/>
    </row>
    <row r="43" spans="1:7">
      <c r="A43" s="33"/>
      <c r="B43" s="30"/>
      <c r="C43" s="43"/>
      <c r="D43" s="33"/>
      <c r="E43" s="33"/>
      <c r="F43" s="32"/>
      <c r="G43" s="33"/>
    </row>
    <row r="44" spans="1:7">
      <c r="A44" s="37"/>
      <c r="B44" s="34"/>
      <c r="C44" s="42"/>
      <c r="D44" s="37"/>
      <c r="E44" s="37"/>
      <c r="F44" s="36"/>
      <c r="G44" s="37"/>
    </row>
    <row r="45" spans="1:7">
      <c r="A45" s="33"/>
      <c r="B45" s="30"/>
      <c r="C45" s="43"/>
      <c r="D45" s="33"/>
      <c r="E45" s="33"/>
      <c r="F45" s="32"/>
      <c r="G45" s="33"/>
    </row>
    <row r="46" spans="1:7">
      <c r="A46" s="37"/>
      <c r="B46" s="34"/>
      <c r="C46" s="42"/>
      <c r="D46" s="37"/>
      <c r="E46" s="37"/>
      <c r="F46" s="36"/>
      <c r="G46" s="37"/>
    </row>
    <row r="47" spans="1:7">
      <c r="A47" s="33"/>
      <c r="B47" s="30"/>
      <c r="C47" s="43"/>
      <c r="D47" s="33"/>
      <c r="E47" s="33"/>
      <c r="F47" s="32"/>
      <c r="G47" s="33"/>
    </row>
    <row r="48" spans="1:7">
      <c r="A48" s="37"/>
      <c r="B48" s="34"/>
      <c r="C48" s="42"/>
      <c r="D48" s="37"/>
      <c r="E48" s="37"/>
      <c r="F48" s="36"/>
      <c r="G48" s="37"/>
    </row>
    <row r="49" spans="1:7">
      <c r="A49" s="33"/>
      <c r="B49" s="30"/>
      <c r="C49" s="43"/>
      <c r="D49" s="33"/>
      <c r="E49" s="33"/>
      <c r="F49" s="32"/>
      <c r="G49" s="33"/>
    </row>
    <row r="50" spans="1:7" ht="15">
      <c r="A50" s="933" t="s">
        <v>59</v>
      </c>
      <c r="B50" s="933"/>
      <c r="C50" s="933"/>
      <c r="D50" s="933"/>
      <c r="E50" s="44">
        <f>SUM(E10:E49)</f>
        <v>23695000</v>
      </c>
      <c r="F50" s="28"/>
      <c r="G50" s="45"/>
    </row>
  </sheetData>
  <mergeCells count="2">
    <mergeCell ref="A8:G8"/>
    <mergeCell ref="A50:D50"/>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AFC13-846A-4623-A0B8-34D4FCC1DA36}">
  <dimension ref="A7:U40"/>
  <sheetViews>
    <sheetView showGridLines="0" workbookViewId="0">
      <selection activeCell="B11" sqref="B11:T11"/>
    </sheetView>
  </sheetViews>
  <sheetFormatPr defaultColWidth="11.42578125" defaultRowHeight="14.25"/>
  <cols>
    <col min="1" max="1" width="45.85546875" style="64" customWidth="1"/>
    <col min="2" max="2" width="23.7109375" style="64" customWidth="1"/>
    <col min="3" max="3" width="27.7109375" style="64" customWidth="1"/>
    <col min="4" max="4" width="17.5703125" style="64" bestFit="1" customWidth="1"/>
    <col min="5" max="5" width="12.5703125" style="64" customWidth="1"/>
    <col min="6" max="6" width="53.42578125" style="64" customWidth="1"/>
    <col min="7" max="7" width="7.5703125" style="64" bestFit="1" customWidth="1"/>
    <col min="8" max="8" width="11.7109375" style="64" customWidth="1"/>
    <col min="9" max="9" width="8.85546875" style="64" customWidth="1"/>
    <col min="10" max="10" width="6.5703125" style="64" customWidth="1"/>
    <col min="11" max="11" width="6.85546875" style="64" customWidth="1"/>
    <col min="12" max="12" width="7.85546875" style="64" customWidth="1"/>
    <col min="13" max="13" width="7" style="64" customWidth="1"/>
    <col min="14" max="14" width="9" style="64" customWidth="1"/>
    <col min="15" max="15" width="16.5703125" style="64" customWidth="1"/>
    <col min="16" max="16" width="11.28515625" style="64" customWidth="1"/>
    <col min="17" max="17" width="14.7109375" style="64" customWidth="1"/>
    <col min="18" max="19" width="13.5703125" style="64" customWidth="1"/>
    <col min="20" max="20" width="42.42578125" style="64" customWidth="1"/>
    <col min="21" max="16384" width="11.42578125" style="27"/>
  </cols>
  <sheetData>
    <row r="7" spans="1:20" ht="28.5" customHeight="1">
      <c r="A7" s="934" t="s">
        <v>60</v>
      </c>
      <c r="B7" s="934"/>
      <c r="C7" s="934"/>
      <c r="D7" s="934"/>
      <c r="E7" s="934"/>
      <c r="F7" s="934"/>
      <c r="G7" s="934"/>
      <c r="H7" s="934"/>
      <c r="I7" s="934"/>
      <c r="J7" s="934"/>
      <c r="K7" s="934"/>
      <c r="L7" s="934"/>
      <c r="M7" s="934"/>
      <c r="N7" s="934"/>
      <c r="O7" s="934"/>
      <c r="P7" s="934"/>
      <c r="Q7" s="934"/>
      <c r="R7" s="934"/>
      <c r="S7" s="934"/>
      <c r="T7" s="934"/>
    </row>
    <row r="8" spans="1:20" ht="20.25">
      <c r="A8" s="934" t="s">
        <v>61</v>
      </c>
      <c r="B8" s="934"/>
      <c r="C8" s="934"/>
      <c r="D8" s="934"/>
      <c r="E8" s="934"/>
      <c r="F8" s="934"/>
      <c r="G8" s="934"/>
      <c r="H8" s="934"/>
      <c r="I8" s="934"/>
      <c r="J8" s="934"/>
      <c r="K8" s="934"/>
      <c r="L8" s="934"/>
      <c r="M8" s="934"/>
      <c r="N8" s="934"/>
      <c r="O8" s="934"/>
      <c r="P8" s="934"/>
      <c r="Q8" s="934"/>
      <c r="R8" s="934"/>
      <c r="S8" s="934"/>
      <c r="T8" s="934"/>
    </row>
    <row r="9" spans="1:20" ht="20.25">
      <c r="A9" s="48"/>
      <c r="B9" s="48"/>
      <c r="C9" s="48"/>
      <c r="D9" s="48"/>
      <c r="E9" s="48"/>
      <c r="F9" s="48"/>
      <c r="G9" s="48"/>
      <c r="H9" s="48"/>
      <c r="I9" s="48"/>
      <c r="J9" s="48"/>
      <c r="K9" s="48"/>
      <c r="L9" s="48"/>
      <c r="M9" s="48"/>
      <c r="N9" s="48"/>
      <c r="O9" s="48"/>
      <c r="P9" s="48"/>
      <c r="Q9" s="48"/>
      <c r="R9" s="48"/>
      <c r="S9" s="48"/>
      <c r="T9" s="48"/>
    </row>
    <row r="10" spans="1:20" ht="20.25">
      <c r="A10" s="416" t="s">
        <v>62</v>
      </c>
      <c r="B10" s="935" t="s">
        <v>904</v>
      </c>
      <c r="C10" s="935"/>
      <c r="D10" s="935"/>
      <c r="E10" s="935"/>
      <c r="F10" s="935"/>
      <c r="G10" s="935"/>
      <c r="H10" s="935"/>
      <c r="I10" s="935"/>
      <c r="J10" s="935"/>
      <c r="K10" s="935"/>
      <c r="L10" s="935"/>
      <c r="M10" s="935"/>
      <c r="N10" s="935"/>
      <c r="O10" s="935"/>
      <c r="P10" s="935"/>
      <c r="Q10" s="935"/>
      <c r="R10" s="935"/>
      <c r="S10" s="935"/>
      <c r="T10" s="935"/>
    </row>
    <row r="11" spans="1:20" ht="20.25">
      <c r="A11" s="416" t="s">
        <v>63</v>
      </c>
      <c r="B11" s="935" t="s">
        <v>905</v>
      </c>
      <c r="C11" s="935"/>
      <c r="D11" s="935"/>
      <c r="E11" s="935"/>
      <c r="F11" s="935"/>
      <c r="G11" s="935"/>
      <c r="H11" s="935"/>
      <c r="I11" s="935"/>
      <c r="J11" s="935"/>
      <c r="K11" s="935"/>
      <c r="L11" s="935"/>
      <c r="M11" s="935"/>
      <c r="N11" s="935"/>
      <c r="O11" s="935"/>
      <c r="P11" s="935"/>
      <c r="Q11" s="935"/>
      <c r="R11" s="935"/>
      <c r="S11" s="935"/>
      <c r="T11" s="935"/>
    </row>
    <row r="12" spans="1:20" ht="20.25">
      <c r="A12" s="416" t="s">
        <v>65</v>
      </c>
      <c r="B12" s="703" t="s">
        <v>503</v>
      </c>
      <c r="C12" s="704"/>
      <c r="D12" s="704"/>
      <c r="E12" s="704"/>
      <c r="F12" s="704"/>
      <c r="G12" s="704"/>
      <c r="H12" s="704"/>
      <c r="I12" s="704"/>
      <c r="J12" s="704"/>
      <c r="K12" s="704"/>
      <c r="L12" s="704"/>
      <c r="M12" s="704"/>
      <c r="N12" s="704"/>
      <c r="O12" s="704"/>
      <c r="P12" s="704"/>
      <c r="Q12" s="704"/>
      <c r="R12" s="704"/>
      <c r="S12" s="704"/>
      <c r="T12" s="705"/>
    </row>
    <row r="14" spans="1:20" ht="17.25" customHeight="1">
      <c r="A14" s="906" t="s">
        <v>66</v>
      </c>
      <c r="B14" s="906" t="s">
        <v>67</v>
      </c>
      <c r="C14" s="906" t="s">
        <v>68</v>
      </c>
      <c r="D14" s="936" t="s">
        <v>69</v>
      </c>
      <c r="E14" s="936"/>
      <c r="F14" s="905" t="s">
        <v>70</v>
      </c>
      <c r="G14" s="937" t="s">
        <v>71</v>
      </c>
      <c r="H14" s="937"/>
      <c r="I14" s="937"/>
      <c r="J14" s="937" t="s">
        <v>72</v>
      </c>
      <c r="K14" s="937"/>
      <c r="L14" s="937"/>
      <c r="M14" s="937" t="s">
        <v>73</v>
      </c>
      <c r="N14" s="937"/>
      <c r="O14" s="937"/>
      <c r="P14" s="937" t="s">
        <v>74</v>
      </c>
      <c r="Q14" s="937"/>
      <c r="R14" s="937"/>
      <c r="S14" s="905" t="s">
        <v>75</v>
      </c>
      <c r="T14" s="905" t="s">
        <v>76</v>
      </c>
    </row>
    <row r="15" spans="1:20" s="53" customFormat="1" ht="26.25" customHeight="1">
      <c r="A15" s="907"/>
      <c r="B15" s="907"/>
      <c r="C15" s="907"/>
      <c r="D15" s="407" t="s">
        <v>77</v>
      </c>
      <c r="E15" s="407" t="s">
        <v>78</v>
      </c>
      <c r="F15" s="905"/>
      <c r="G15" s="408" t="s">
        <v>79</v>
      </c>
      <c r="H15" s="408" t="s">
        <v>80</v>
      </c>
      <c r="I15" s="408" t="s">
        <v>81</v>
      </c>
      <c r="J15" s="408" t="s">
        <v>82</v>
      </c>
      <c r="K15" s="408" t="s">
        <v>83</v>
      </c>
      <c r="L15" s="408" t="s">
        <v>84</v>
      </c>
      <c r="M15" s="408" t="s">
        <v>85</v>
      </c>
      <c r="N15" s="408" t="s">
        <v>86</v>
      </c>
      <c r="O15" s="408" t="s">
        <v>87</v>
      </c>
      <c r="P15" s="408" t="s">
        <v>88</v>
      </c>
      <c r="Q15" s="408" t="s">
        <v>89</v>
      </c>
      <c r="R15" s="408" t="s">
        <v>90</v>
      </c>
      <c r="S15" s="905"/>
      <c r="T15" s="905"/>
    </row>
    <row r="16" spans="1:20" s="56" customFormat="1" ht="285" customHeight="1">
      <c r="A16" s="135" t="s">
        <v>1200</v>
      </c>
      <c r="B16" s="135" t="s">
        <v>906</v>
      </c>
      <c r="C16" s="135" t="s">
        <v>907</v>
      </c>
      <c r="D16" s="55" t="s">
        <v>101</v>
      </c>
      <c r="E16" s="55">
        <v>1</v>
      </c>
      <c r="F16" s="135" t="s">
        <v>1201</v>
      </c>
      <c r="G16" s="135"/>
      <c r="H16" s="135"/>
      <c r="I16" s="135"/>
      <c r="J16" s="135"/>
      <c r="K16" s="135"/>
      <c r="L16" s="135"/>
      <c r="M16" s="55">
        <v>1</v>
      </c>
      <c r="N16" s="135"/>
      <c r="O16" s="135"/>
      <c r="P16" s="135"/>
      <c r="Q16" s="135"/>
      <c r="R16" s="135"/>
      <c r="S16" s="135"/>
      <c r="T16" s="135" t="s">
        <v>908</v>
      </c>
    </row>
    <row r="17" spans="1:21" s="56" customFormat="1" ht="128.25">
      <c r="A17" s="240" t="s">
        <v>1202</v>
      </c>
      <c r="B17" s="240" t="s">
        <v>909</v>
      </c>
      <c r="C17" s="219" t="s">
        <v>910</v>
      </c>
      <c r="D17" s="60" t="s">
        <v>78</v>
      </c>
      <c r="E17" s="60">
        <v>2</v>
      </c>
      <c r="F17" s="219" t="s">
        <v>1203</v>
      </c>
      <c r="G17" s="75"/>
      <c r="H17" s="75"/>
      <c r="I17" s="75"/>
      <c r="J17" s="75"/>
      <c r="K17" s="75"/>
      <c r="L17" s="75"/>
      <c r="M17" s="75">
        <v>1</v>
      </c>
      <c r="N17" s="75"/>
      <c r="O17" s="75"/>
      <c r="P17" s="75"/>
      <c r="Q17" s="75">
        <v>1</v>
      </c>
      <c r="R17" s="75"/>
      <c r="S17" s="75"/>
      <c r="T17" s="240" t="s">
        <v>911</v>
      </c>
    </row>
    <row r="18" spans="1:21" ht="142.5">
      <c r="A18" s="135" t="s">
        <v>1204</v>
      </c>
      <c r="B18" s="260" t="s">
        <v>912</v>
      </c>
      <c r="C18" s="34" t="s">
        <v>913</v>
      </c>
      <c r="D18" s="36" t="s">
        <v>78</v>
      </c>
      <c r="E18" s="36">
        <v>12</v>
      </c>
      <c r="F18" s="260" t="s">
        <v>1205</v>
      </c>
      <c r="G18" s="55">
        <v>1</v>
      </c>
      <c r="H18" s="55">
        <v>1</v>
      </c>
      <c r="I18" s="55">
        <v>1</v>
      </c>
      <c r="J18" s="55">
        <v>1</v>
      </c>
      <c r="K18" s="55">
        <v>1</v>
      </c>
      <c r="L18" s="55">
        <v>1</v>
      </c>
      <c r="M18" s="55">
        <v>1</v>
      </c>
      <c r="N18" s="55">
        <v>1</v>
      </c>
      <c r="O18" s="55">
        <v>1</v>
      </c>
      <c r="P18" s="55">
        <v>1</v>
      </c>
      <c r="Q18" s="55">
        <v>1</v>
      </c>
      <c r="R18" s="55">
        <v>1</v>
      </c>
      <c r="S18" s="55"/>
      <c r="T18" s="34" t="s">
        <v>914</v>
      </c>
    </row>
    <row r="19" spans="1:21" ht="42.75">
      <c r="A19" s="215" t="s">
        <v>1206</v>
      </c>
      <c r="B19" s="215" t="s">
        <v>915</v>
      </c>
      <c r="C19" s="215" t="s">
        <v>916</v>
      </c>
      <c r="D19" s="32" t="s">
        <v>78</v>
      </c>
      <c r="E19" s="32">
        <v>1</v>
      </c>
      <c r="F19" s="215" t="s">
        <v>1207</v>
      </c>
      <c r="G19" s="32"/>
      <c r="H19" s="32">
        <v>1</v>
      </c>
      <c r="I19" s="32"/>
      <c r="J19" s="32"/>
      <c r="K19" s="32"/>
      <c r="L19" s="32"/>
      <c r="M19" s="32"/>
      <c r="N19" s="32"/>
      <c r="O19" s="32"/>
      <c r="P19" s="32"/>
      <c r="Q19" s="32"/>
      <c r="R19" s="32"/>
      <c r="S19" s="31"/>
      <c r="T19" s="240" t="s">
        <v>914</v>
      </c>
    </row>
    <row r="20" spans="1:21" s="56" customFormat="1" ht="42.75">
      <c r="A20" s="135" t="s">
        <v>1208</v>
      </c>
      <c r="B20" s="135" t="s">
        <v>917</v>
      </c>
      <c r="C20" s="135" t="s">
        <v>918</v>
      </c>
      <c r="D20" s="55" t="s">
        <v>839</v>
      </c>
      <c r="E20" s="138">
        <v>1</v>
      </c>
      <c r="F20" s="135" t="s">
        <v>1209</v>
      </c>
      <c r="G20" s="55"/>
      <c r="H20" s="55"/>
      <c r="I20" s="55"/>
      <c r="J20" s="138">
        <v>1</v>
      </c>
      <c r="K20" s="55"/>
      <c r="L20" s="138"/>
      <c r="M20" s="138"/>
      <c r="N20" s="55"/>
      <c r="O20" s="55"/>
      <c r="P20" s="55"/>
      <c r="Q20" s="55"/>
      <c r="R20" s="55"/>
      <c r="S20" s="55"/>
      <c r="T20" s="135"/>
    </row>
    <row r="21" spans="1:21" s="56" customFormat="1" ht="114">
      <c r="A21" s="781" t="s">
        <v>1210</v>
      </c>
      <c r="B21" s="240" t="s">
        <v>919</v>
      </c>
      <c r="C21" s="240" t="s">
        <v>920</v>
      </c>
      <c r="D21" s="75" t="s">
        <v>170</v>
      </c>
      <c r="E21" s="243">
        <v>1</v>
      </c>
      <c r="F21" s="240" t="s">
        <v>1211</v>
      </c>
      <c r="G21" s="75"/>
      <c r="H21" s="75"/>
      <c r="I21" s="243"/>
      <c r="J21" s="243">
        <v>1</v>
      </c>
      <c r="K21" s="75"/>
      <c r="L21" s="243"/>
      <c r="M21" s="243"/>
      <c r="N21" s="243">
        <v>1</v>
      </c>
      <c r="O21" s="243"/>
      <c r="P21" s="243"/>
      <c r="Q21" s="243">
        <v>1</v>
      </c>
      <c r="R21" s="243"/>
      <c r="S21" s="75"/>
      <c r="T21" s="792" t="s">
        <v>1169</v>
      </c>
    </row>
    <row r="22" spans="1:21" s="56" customFormat="1" ht="28.5">
      <c r="A22" s="791"/>
      <c r="B22" s="240" t="s">
        <v>921</v>
      </c>
      <c r="C22" s="240" t="s">
        <v>922</v>
      </c>
      <c r="D22" s="75" t="s">
        <v>101</v>
      </c>
      <c r="E22" s="75">
        <v>3</v>
      </c>
      <c r="F22" s="240" t="s">
        <v>1212</v>
      </c>
      <c r="G22" s="75"/>
      <c r="H22" s="75"/>
      <c r="I22" s="75"/>
      <c r="J22" s="75">
        <v>1</v>
      </c>
      <c r="K22" s="75"/>
      <c r="L22" s="75"/>
      <c r="M22" s="75"/>
      <c r="N22" s="75">
        <v>1</v>
      </c>
      <c r="O22" s="75"/>
      <c r="P22" s="75"/>
      <c r="Q22" s="75">
        <v>1</v>
      </c>
      <c r="R22" s="75"/>
      <c r="S22" s="75"/>
      <c r="T22" s="794"/>
    </row>
    <row r="23" spans="1:21" s="56" customFormat="1" ht="71.25">
      <c r="A23" s="791"/>
      <c r="B23" s="240" t="s">
        <v>1170</v>
      </c>
      <c r="C23" s="240" t="s">
        <v>1171</v>
      </c>
      <c r="D23" s="75" t="s">
        <v>839</v>
      </c>
      <c r="E23" s="243">
        <v>0.9</v>
      </c>
      <c r="F23" s="240" t="s">
        <v>1213</v>
      </c>
      <c r="G23" s="243">
        <v>0.9</v>
      </c>
      <c r="H23" s="243">
        <v>0.9</v>
      </c>
      <c r="I23" s="243">
        <v>0.9</v>
      </c>
      <c r="J23" s="243">
        <v>0.9</v>
      </c>
      <c r="K23" s="243">
        <v>0.9</v>
      </c>
      <c r="L23" s="243">
        <v>0.9</v>
      </c>
      <c r="M23" s="243">
        <v>0.9</v>
      </c>
      <c r="N23" s="243">
        <v>0.9</v>
      </c>
      <c r="O23" s="243">
        <v>0.9</v>
      </c>
      <c r="P23" s="243">
        <v>0.9</v>
      </c>
      <c r="Q23" s="243">
        <v>0.9</v>
      </c>
      <c r="R23" s="243">
        <v>0.9</v>
      </c>
      <c r="S23" s="75"/>
      <c r="T23" s="402" t="s">
        <v>1172</v>
      </c>
    </row>
    <row r="24" spans="1:21" s="56" customFormat="1" ht="28.5">
      <c r="A24" s="791"/>
      <c r="B24" s="240" t="s">
        <v>1173</v>
      </c>
      <c r="C24" s="240" t="s">
        <v>1174</v>
      </c>
      <c r="D24" s="75" t="s">
        <v>78</v>
      </c>
      <c r="E24" s="75">
        <v>5</v>
      </c>
      <c r="F24" s="240" t="s">
        <v>1214</v>
      </c>
      <c r="G24" s="243"/>
      <c r="H24" s="243"/>
      <c r="I24" s="243"/>
      <c r="J24" s="243"/>
      <c r="K24" s="243"/>
      <c r="L24" s="243"/>
      <c r="M24" s="243"/>
      <c r="N24" s="243"/>
      <c r="O24" s="243"/>
      <c r="P24" s="243"/>
      <c r="Q24" s="243"/>
      <c r="R24" s="417">
        <v>5</v>
      </c>
      <c r="S24" s="75"/>
      <c r="T24" s="402"/>
    </row>
    <row r="25" spans="1:21" s="56" customFormat="1" ht="28.5">
      <c r="A25" s="782"/>
      <c r="B25" s="240" t="s">
        <v>1175</v>
      </c>
      <c r="C25" s="240" t="s">
        <v>1176</v>
      </c>
      <c r="D25" s="75" t="s">
        <v>78</v>
      </c>
      <c r="E25" s="75">
        <v>5</v>
      </c>
      <c r="F25" s="240" t="s">
        <v>1215</v>
      </c>
      <c r="G25" s="243"/>
      <c r="H25" s="243"/>
      <c r="I25" s="243"/>
      <c r="J25" s="243"/>
      <c r="K25" s="243"/>
      <c r="L25" s="243"/>
      <c r="M25" s="243"/>
      <c r="N25" s="243"/>
      <c r="O25" s="243"/>
      <c r="P25" s="243"/>
      <c r="Q25" s="243"/>
      <c r="R25" s="417">
        <v>5</v>
      </c>
      <c r="S25" s="75"/>
      <c r="T25" s="402"/>
    </row>
    <row r="26" spans="1:21" ht="71.25">
      <c r="A26" s="706" t="s">
        <v>1216</v>
      </c>
      <c r="B26" s="135" t="s">
        <v>924</v>
      </c>
      <c r="C26" s="135" t="s">
        <v>925</v>
      </c>
      <c r="D26" s="36" t="s">
        <v>78</v>
      </c>
      <c r="E26" s="36">
        <v>1</v>
      </c>
      <c r="F26" s="135" t="s">
        <v>1217</v>
      </c>
      <c r="G26" s="36"/>
      <c r="H26" s="36">
        <v>1</v>
      </c>
      <c r="I26" s="36"/>
      <c r="J26" s="36"/>
      <c r="K26" s="36"/>
      <c r="L26" s="36"/>
      <c r="M26" s="36"/>
      <c r="N26" s="36"/>
      <c r="O26" s="36"/>
      <c r="P26" s="36"/>
      <c r="Q26" s="36"/>
      <c r="R26" s="36"/>
      <c r="S26" s="70"/>
      <c r="T26" s="706" t="s">
        <v>926</v>
      </c>
    </row>
    <row r="27" spans="1:21" ht="71.25">
      <c r="A27" s="716"/>
      <c r="B27" s="135" t="s">
        <v>1177</v>
      </c>
      <c r="C27" s="135" t="s">
        <v>915</v>
      </c>
      <c r="D27" s="36" t="s">
        <v>78</v>
      </c>
      <c r="E27" s="36">
        <v>1</v>
      </c>
      <c r="F27" s="135" t="s">
        <v>1218</v>
      </c>
      <c r="G27" s="36"/>
      <c r="H27" s="36">
        <v>1</v>
      </c>
      <c r="I27" s="36"/>
      <c r="J27" s="36"/>
      <c r="K27" s="36"/>
      <c r="L27" s="36"/>
      <c r="M27" s="36"/>
      <c r="N27" s="36"/>
      <c r="O27" s="36"/>
      <c r="P27" s="36"/>
      <c r="Q27" s="36"/>
      <c r="R27" s="36"/>
      <c r="S27" s="36"/>
      <c r="T27" s="707"/>
    </row>
    <row r="28" spans="1:21" ht="71.25" customHeight="1">
      <c r="A28" s="716"/>
      <c r="B28" s="883" t="s">
        <v>1178</v>
      </c>
      <c r="C28" s="157" t="s">
        <v>1179</v>
      </c>
      <c r="D28" s="319" t="s">
        <v>78</v>
      </c>
      <c r="E28" s="319">
        <v>4</v>
      </c>
      <c r="F28" s="157" t="s">
        <v>1219</v>
      </c>
      <c r="G28" s="36">
        <v>1</v>
      </c>
      <c r="H28" s="36">
        <v>2</v>
      </c>
      <c r="I28" s="36">
        <v>1</v>
      </c>
      <c r="J28" s="36"/>
      <c r="K28" s="36"/>
      <c r="L28" s="36"/>
      <c r="M28" s="36"/>
      <c r="N28" s="36"/>
      <c r="O28" s="36"/>
      <c r="P28" s="36"/>
      <c r="Q28" s="36"/>
      <c r="R28" s="36"/>
      <c r="S28" s="36"/>
      <c r="T28" s="401"/>
    </row>
    <row r="29" spans="1:21" ht="28.5">
      <c r="A29" s="716"/>
      <c r="B29" s="884"/>
      <c r="C29" s="157" t="s">
        <v>1180</v>
      </c>
      <c r="D29" s="319" t="s">
        <v>1181</v>
      </c>
      <c r="E29" s="319">
        <v>1</v>
      </c>
      <c r="F29" s="157" t="s">
        <v>1220</v>
      </c>
      <c r="G29" s="36"/>
      <c r="H29" s="36"/>
      <c r="I29" s="36">
        <v>1</v>
      </c>
      <c r="J29" s="36"/>
      <c r="K29" s="36"/>
      <c r="L29" s="36"/>
      <c r="M29" s="36"/>
      <c r="N29" s="36"/>
      <c r="O29" s="36"/>
      <c r="P29" s="36"/>
      <c r="Q29" s="36"/>
      <c r="R29" s="36"/>
      <c r="S29" s="36"/>
      <c r="T29" s="401"/>
    </row>
    <row r="30" spans="1:21" ht="42.75">
      <c r="A30" s="716"/>
      <c r="B30" s="157" t="s">
        <v>1182</v>
      </c>
      <c r="C30" s="157" t="s">
        <v>1183</v>
      </c>
      <c r="D30" s="319" t="s">
        <v>1184</v>
      </c>
      <c r="E30" s="319">
        <v>1</v>
      </c>
      <c r="F30" s="157" t="s">
        <v>1221</v>
      </c>
      <c r="G30" s="36">
        <v>1</v>
      </c>
      <c r="H30" s="36"/>
      <c r="I30" s="36"/>
      <c r="J30" s="36"/>
      <c r="K30" s="36"/>
      <c r="L30" s="36"/>
      <c r="M30" s="36"/>
      <c r="N30" s="36"/>
      <c r="O30" s="36"/>
      <c r="P30" s="36"/>
      <c r="Q30" s="36"/>
      <c r="R30" s="36">
        <v>1</v>
      </c>
      <c r="S30" s="36"/>
      <c r="T30" s="401"/>
    </row>
    <row r="31" spans="1:21" ht="42.75">
      <c r="A31" s="716"/>
      <c r="B31" s="157" t="s">
        <v>1185</v>
      </c>
      <c r="C31" s="157" t="s">
        <v>1186</v>
      </c>
      <c r="D31" s="319" t="s">
        <v>1181</v>
      </c>
      <c r="E31" s="319">
        <v>1</v>
      </c>
      <c r="F31" s="157" t="s">
        <v>1222</v>
      </c>
      <c r="G31" s="36">
        <v>1</v>
      </c>
      <c r="H31" s="36"/>
      <c r="I31" s="36"/>
      <c r="J31" s="36"/>
      <c r="K31" s="36"/>
      <c r="L31" s="36"/>
      <c r="M31" s="36"/>
      <c r="N31" s="36"/>
      <c r="O31" s="36"/>
      <c r="P31" s="36"/>
      <c r="Q31" s="36"/>
      <c r="R31" s="36"/>
      <c r="S31" s="36"/>
      <c r="T31" s="401"/>
      <c r="U31" s="27" t="s">
        <v>1187</v>
      </c>
    </row>
    <row r="32" spans="1:21" ht="42.75">
      <c r="A32" s="707"/>
      <c r="B32" s="157" t="s">
        <v>1188</v>
      </c>
      <c r="C32" s="157" t="s">
        <v>1189</v>
      </c>
      <c r="D32" s="319" t="s">
        <v>101</v>
      </c>
      <c r="E32" s="319">
        <v>12</v>
      </c>
      <c r="F32" s="157" t="s">
        <v>1223</v>
      </c>
      <c r="G32" s="36">
        <v>1</v>
      </c>
      <c r="H32" s="36">
        <v>1</v>
      </c>
      <c r="I32" s="36">
        <v>1</v>
      </c>
      <c r="J32" s="36">
        <v>1</v>
      </c>
      <c r="K32" s="36">
        <v>1</v>
      </c>
      <c r="L32" s="36">
        <v>1</v>
      </c>
      <c r="M32" s="36">
        <v>1</v>
      </c>
      <c r="N32" s="36">
        <v>1</v>
      </c>
      <c r="O32" s="36">
        <v>1</v>
      </c>
      <c r="P32" s="36">
        <v>1</v>
      </c>
      <c r="Q32" s="36">
        <v>1</v>
      </c>
      <c r="R32" s="36">
        <v>1</v>
      </c>
      <c r="S32" s="36"/>
      <c r="T32" s="401"/>
    </row>
    <row r="33" spans="1:21" ht="71.25">
      <c r="A33" s="792" t="s">
        <v>1224</v>
      </c>
      <c r="B33" s="96" t="s">
        <v>928</v>
      </c>
      <c r="C33" s="96" t="s">
        <v>927</v>
      </c>
      <c r="D33" s="60" t="s">
        <v>78</v>
      </c>
      <c r="E33" s="60">
        <v>5</v>
      </c>
      <c r="F33" s="57" t="s">
        <v>1225</v>
      </c>
      <c r="G33" s="60"/>
      <c r="H33" s="60"/>
      <c r="I33" s="60"/>
      <c r="J33" s="60"/>
      <c r="K33" s="60"/>
      <c r="L33" s="60"/>
      <c r="M33" s="60"/>
      <c r="N33" s="60"/>
      <c r="O33" s="60"/>
      <c r="P33" s="60"/>
      <c r="Q33" s="60"/>
      <c r="R33" s="60">
        <v>5</v>
      </c>
      <c r="S33" s="60"/>
      <c r="T33" s="96" t="s">
        <v>929</v>
      </c>
    </row>
    <row r="34" spans="1:21" ht="99.75">
      <c r="A34" s="793"/>
      <c r="B34" s="96" t="s">
        <v>930</v>
      </c>
      <c r="C34" s="96" t="s">
        <v>931</v>
      </c>
      <c r="D34" s="60" t="s">
        <v>78</v>
      </c>
      <c r="E34" s="60">
        <v>5</v>
      </c>
      <c r="F34" s="96" t="s">
        <v>1226</v>
      </c>
      <c r="G34" s="60"/>
      <c r="H34" s="60"/>
      <c r="I34" s="60">
        <v>1</v>
      </c>
      <c r="J34" s="60"/>
      <c r="K34" s="60"/>
      <c r="L34" s="60">
        <v>1</v>
      </c>
      <c r="M34" s="60"/>
      <c r="N34" s="60"/>
      <c r="O34" s="60">
        <v>1</v>
      </c>
      <c r="P34" s="60"/>
      <c r="Q34" s="60"/>
      <c r="R34" s="60">
        <v>2</v>
      </c>
      <c r="S34" s="350"/>
      <c r="T34" s="96" t="s">
        <v>932</v>
      </c>
    </row>
    <row r="35" spans="1:21" ht="42.75">
      <c r="A35" s="793"/>
      <c r="B35" s="96" t="s">
        <v>1190</v>
      </c>
      <c r="C35" s="96" t="s">
        <v>1191</v>
      </c>
      <c r="D35" s="60" t="s">
        <v>1192</v>
      </c>
      <c r="E35" s="139">
        <v>0.9</v>
      </c>
      <c r="F35" s="418" t="s">
        <v>1227</v>
      </c>
      <c r="G35" s="60"/>
      <c r="H35" s="60"/>
      <c r="I35" s="60"/>
      <c r="J35" s="60"/>
      <c r="K35" s="60"/>
      <c r="L35" s="60"/>
      <c r="M35" s="60"/>
      <c r="N35" s="60"/>
      <c r="O35" s="60"/>
      <c r="P35" s="60"/>
      <c r="Q35" s="60"/>
      <c r="R35" s="139">
        <v>0.9</v>
      </c>
      <c r="S35" s="419"/>
      <c r="T35" s="96" t="s">
        <v>1193</v>
      </c>
    </row>
    <row r="36" spans="1:21" ht="28.5">
      <c r="A36" s="793"/>
      <c r="B36" s="96" t="s">
        <v>1194</v>
      </c>
      <c r="C36" s="96" t="s">
        <v>1195</v>
      </c>
      <c r="D36" s="59" t="s">
        <v>1196</v>
      </c>
      <c r="E36" s="60">
        <v>1</v>
      </c>
      <c r="F36" s="420" t="s">
        <v>1228</v>
      </c>
      <c r="G36" s="60">
        <v>1</v>
      </c>
      <c r="H36" s="60"/>
      <c r="I36" s="60"/>
      <c r="J36" s="60"/>
      <c r="K36" s="60"/>
      <c r="L36" s="60"/>
      <c r="M36" s="60"/>
      <c r="N36" s="60"/>
      <c r="O36" s="60"/>
      <c r="P36" s="60"/>
      <c r="Q36" s="60"/>
      <c r="R36" s="60"/>
      <c r="S36" s="350"/>
      <c r="T36" s="96"/>
    </row>
    <row r="37" spans="1:21" ht="71.25">
      <c r="A37" s="794"/>
      <c r="B37" s="96" t="s">
        <v>1197</v>
      </c>
      <c r="C37" s="96" t="s">
        <v>1198</v>
      </c>
      <c r="D37" s="59" t="s">
        <v>101</v>
      </c>
      <c r="E37" s="60">
        <v>8</v>
      </c>
      <c r="F37" s="418" t="s">
        <v>1229</v>
      </c>
      <c r="G37" s="60"/>
      <c r="H37" s="60"/>
      <c r="I37" s="60"/>
      <c r="J37" s="60"/>
      <c r="K37" s="60"/>
      <c r="L37" s="60"/>
      <c r="M37" s="60"/>
      <c r="N37" s="60"/>
      <c r="O37" s="60"/>
      <c r="P37" s="60"/>
      <c r="Q37" s="60"/>
      <c r="R37" s="60">
        <v>8</v>
      </c>
      <c r="S37" s="350"/>
      <c r="T37" s="96"/>
    </row>
    <row r="38" spans="1:21" s="66" customFormat="1" ht="42.75">
      <c r="A38" s="421" t="s">
        <v>1230</v>
      </c>
      <c r="B38" s="422" t="s">
        <v>933</v>
      </c>
      <c r="C38" s="422" t="s">
        <v>934</v>
      </c>
      <c r="D38" s="71" t="s">
        <v>78</v>
      </c>
      <c r="E38" s="71">
        <v>6</v>
      </c>
      <c r="F38" s="421" t="s">
        <v>1231</v>
      </c>
      <c r="G38" s="71"/>
      <c r="H38" s="71"/>
      <c r="I38" s="71"/>
      <c r="J38" s="71"/>
      <c r="K38" s="71"/>
      <c r="L38" s="71"/>
      <c r="M38" s="71"/>
      <c r="N38" s="71"/>
      <c r="O38" s="71"/>
      <c r="P38" s="71"/>
      <c r="Q38" s="71"/>
      <c r="R38" s="71">
        <v>6</v>
      </c>
      <c r="S38" s="423"/>
      <c r="T38" s="421" t="s">
        <v>935</v>
      </c>
      <c r="U38" s="66" t="s">
        <v>1199</v>
      </c>
    </row>
    <row r="39" spans="1:21" ht="85.5">
      <c r="A39" s="96" t="s">
        <v>1232</v>
      </c>
      <c r="B39" s="59" t="s">
        <v>912</v>
      </c>
      <c r="C39" s="59" t="s">
        <v>936</v>
      </c>
      <c r="D39" s="60" t="s">
        <v>78</v>
      </c>
      <c r="E39" s="60">
        <v>13</v>
      </c>
      <c r="F39" s="96" t="s">
        <v>1233</v>
      </c>
      <c r="G39" s="60">
        <v>1</v>
      </c>
      <c r="H39" s="60">
        <v>1</v>
      </c>
      <c r="I39" s="60">
        <v>1</v>
      </c>
      <c r="J39" s="60">
        <v>1</v>
      </c>
      <c r="K39" s="60">
        <v>1</v>
      </c>
      <c r="L39" s="60">
        <v>2</v>
      </c>
      <c r="M39" s="60">
        <v>1</v>
      </c>
      <c r="N39" s="60">
        <v>1</v>
      </c>
      <c r="O39" s="60">
        <v>1</v>
      </c>
      <c r="P39" s="60">
        <v>1</v>
      </c>
      <c r="Q39" s="60">
        <v>1</v>
      </c>
      <c r="R39" s="60">
        <v>2</v>
      </c>
      <c r="S39" s="61">
        <v>0</v>
      </c>
      <c r="T39" s="96" t="s">
        <v>937</v>
      </c>
    </row>
    <row r="40" spans="1:21" ht="57">
      <c r="A40" s="34" t="s">
        <v>1234</v>
      </c>
      <c r="B40" s="55" t="s">
        <v>938</v>
      </c>
      <c r="C40" s="55" t="s">
        <v>922</v>
      </c>
      <c r="D40" s="36" t="s">
        <v>78</v>
      </c>
      <c r="E40" s="36">
        <v>2</v>
      </c>
      <c r="F40" s="135" t="s">
        <v>1235</v>
      </c>
      <c r="G40" s="36"/>
      <c r="H40" s="36"/>
      <c r="I40" s="36"/>
      <c r="J40" s="36"/>
      <c r="K40" s="36">
        <v>1</v>
      </c>
      <c r="L40" s="36"/>
      <c r="M40" s="36"/>
      <c r="N40" s="36"/>
      <c r="O40" s="36"/>
      <c r="P40" s="36">
        <v>1</v>
      </c>
      <c r="Q40" s="36"/>
      <c r="R40" s="36"/>
      <c r="S40" s="62"/>
      <c r="T40" s="424"/>
    </row>
  </sheetData>
  <mergeCells count="22">
    <mergeCell ref="S14:S15"/>
    <mergeCell ref="T21:T22"/>
    <mergeCell ref="A21:A25"/>
    <mergeCell ref="A26:A32"/>
    <mergeCell ref="T26:T27"/>
    <mergeCell ref="B28:B29"/>
    <mergeCell ref="A33:A37"/>
    <mergeCell ref="T14:T15"/>
    <mergeCell ref="A7:T7"/>
    <mergeCell ref="A8:T8"/>
    <mergeCell ref="B10:T10"/>
    <mergeCell ref="B11:T11"/>
    <mergeCell ref="B12:T12"/>
    <mergeCell ref="A14:A15"/>
    <mergeCell ref="B14:B15"/>
    <mergeCell ref="C14:C15"/>
    <mergeCell ref="D14:E14"/>
    <mergeCell ref="F14:F15"/>
    <mergeCell ref="G14:I14"/>
    <mergeCell ref="J14:L14"/>
    <mergeCell ref="M14:O14"/>
    <mergeCell ref="P14:R1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5BA4-1AE3-40BD-B8DF-7A97B25016D7}">
  <dimension ref="A8:AW41"/>
  <sheetViews>
    <sheetView showGridLines="0" workbookViewId="0">
      <selection activeCell="A15" sqref="A15:A16"/>
    </sheetView>
  </sheetViews>
  <sheetFormatPr defaultColWidth="11.42578125" defaultRowHeight="14.25"/>
  <cols>
    <col min="1" max="1" width="52.28515625" style="64" customWidth="1"/>
    <col min="2" max="2" width="52.28515625" style="53" customWidth="1"/>
    <col min="3" max="3" width="18.7109375" style="72" customWidth="1"/>
    <col min="4" max="5" width="21.140625" style="47" customWidth="1"/>
    <col min="6" max="6" width="13.85546875" style="47" customWidth="1"/>
    <col min="7" max="7" width="11.5703125" style="47" customWidth="1"/>
    <col min="8" max="8" width="23.5703125" style="72" bestFit="1" customWidth="1"/>
    <col min="9" max="9" width="12.85546875" style="47" bestFit="1" customWidth="1"/>
    <col min="10" max="11" width="13.5703125" style="47" bestFit="1" customWidth="1"/>
    <col min="12" max="12" width="14.5703125" style="47" bestFit="1" customWidth="1"/>
    <col min="13" max="13" width="15" style="47" bestFit="1" customWidth="1"/>
    <col min="14" max="14" width="14.5703125" style="47" bestFit="1" customWidth="1"/>
    <col min="15" max="15" width="15" style="47" bestFit="1" customWidth="1"/>
    <col min="16" max="17" width="14.5703125" style="47" bestFit="1" customWidth="1"/>
    <col min="18" max="18" width="13.5703125" style="47" bestFit="1" customWidth="1"/>
    <col min="19" max="20" width="15" style="47" bestFit="1" customWidth="1"/>
    <col min="21" max="21" width="21.85546875" style="47" bestFit="1" customWidth="1"/>
    <col min="22" max="22" width="15.85546875" style="27" customWidth="1"/>
    <col min="23" max="23" width="16.85546875" style="27" customWidth="1"/>
    <col min="24" max="26" width="0" style="27" hidden="1" customWidth="1"/>
    <col min="27" max="27" width="12.42578125" style="27" hidden="1" customWidth="1"/>
    <col min="28" max="28" width="16.7109375" style="27" hidden="1" customWidth="1"/>
    <col min="29" max="29" width="8.140625" style="27" hidden="1" customWidth="1"/>
    <col min="30" max="31" width="0" style="27" hidden="1" customWidth="1"/>
    <col min="32" max="32" width="12.42578125" style="27" hidden="1" customWidth="1"/>
    <col min="33" max="33" width="16.7109375" style="27" hidden="1" customWidth="1"/>
    <col min="34" max="36" width="0" style="27" hidden="1" customWidth="1"/>
    <col min="37" max="37" width="12.42578125" style="27" hidden="1" customWidth="1"/>
    <col min="38" max="38" width="16.7109375" style="27" hidden="1" customWidth="1"/>
    <col min="39" max="41" width="0" style="27" hidden="1" customWidth="1"/>
    <col min="42" max="42" width="12.42578125" style="27" hidden="1" customWidth="1"/>
    <col min="43" max="49" width="16.7109375" style="27" hidden="1" customWidth="1"/>
    <col min="50" max="163" width="0" style="27" hidden="1" customWidth="1"/>
    <col min="164" max="165" width="9.42578125" style="27" customWidth="1"/>
    <col min="166" max="166" width="5" style="27" customWidth="1"/>
    <col min="167" max="167" width="3.42578125" style="27" customWidth="1"/>
    <col min="168" max="168" width="8.7109375" style="27" customWidth="1"/>
    <col min="169" max="16384" width="11.42578125" style="27"/>
  </cols>
  <sheetData>
    <row r="8" spans="1:43" ht="20.25">
      <c r="A8" s="698" t="s">
        <v>60</v>
      </c>
      <c r="B8" s="698"/>
      <c r="C8" s="698"/>
      <c r="D8" s="698"/>
      <c r="E8" s="698"/>
      <c r="F8" s="698"/>
      <c r="G8" s="698"/>
      <c r="H8" s="698"/>
      <c r="I8" s="698"/>
      <c r="J8" s="698"/>
      <c r="K8" s="698"/>
      <c r="L8" s="698"/>
      <c r="M8" s="698"/>
      <c r="N8" s="698"/>
      <c r="O8" s="698"/>
      <c r="P8" s="698"/>
      <c r="Q8" s="698"/>
      <c r="R8" s="698"/>
      <c r="S8" s="698"/>
      <c r="T8" s="698"/>
      <c r="U8" s="698"/>
      <c r="V8" s="698"/>
    </row>
    <row r="9" spans="1:43" ht="20.25">
      <c r="A9" s="698" t="s">
        <v>61</v>
      </c>
      <c r="B9" s="698"/>
      <c r="C9" s="698"/>
      <c r="D9" s="698"/>
      <c r="E9" s="698"/>
      <c r="F9" s="698"/>
      <c r="G9" s="698"/>
      <c r="H9" s="698"/>
      <c r="I9" s="698"/>
      <c r="J9" s="698"/>
      <c r="K9" s="698"/>
      <c r="L9" s="698"/>
      <c r="M9" s="698"/>
      <c r="N9" s="698"/>
      <c r="O9" s="698"/>
      <c r="P9" s="698"/>
      <c r="Q9" s="698"/>
      <c r="R9" s="698"/>
      <c r="S9" s="698"/>
      <c r="T9" s="698"/>
      <c r="U9" s="698"/>
      <c r="V9" s="698"/>
    </row>
    <row r="10" spans="1:43" ht="20.25">
      <c r="A10" s="698" t="s">
        <v>137</v>
      </c>
      <c r="B10" s="698"/>
      <c r="C10" s="698"/>
      <c r="D10" s="698"/>
      <c r="E10" s="698"/>
      <c r="F10" s="698"/>
      <c r="G10" s="698"/>
      <c r="H10" s="698"/>
      <c r="I10" s="698"/>
      <c r="J10" s="698"/>
      <c r="K10" s="698"/>
      <c r="L10" s="698"/>
      <c r="M10" s="698"/>
      <c r="N10" s="698"/>
      <c r="O10" s="698"/>
      <c r="P10" s="698"/>
      <c r="Q10" s="698"/>
      <c r="R10" s="698"/>
      <c r="S10" s="698"/>
      <c r="T10" s="698"/>
      <c r="U10" s="698"/>
      <c r="V10" s="698"/>
    </row>
    <row r="11" spans="1:43" ht="20.25">
      <c r="A11" s="50" t="s">
        <v>62</v>
      </c>
      <c r="B11" s="699" t="s">
        <v>904</v>
      </c>
      <c r="C11" s="699"/>
      <c r="D11" s="699"/>
      <c r="E11" s="699"/>
      <c r="F11" s="699"/>
      <c r="G11" s="699"/>
      <c r="H11" s="699"/>
      <c r="I11" s="699"/>
      <c r="J11" s="699"/>
      <c r="K11" s="699"/>
      <c r="L11" s="699"/>
      <c r="M11" s="699"/>
      <c r="N11" s="699"/>
      <c r="O11" s="699"/>
      <c r="P11" s="699"/>
      <c r="Q11" s="699"/>
      <c r="R11" s="699"/>
      <c r="S11" s="699"/>
      <c r="T11" s="699"/>
      <c r="U11" s="699"/>
      <c r="V11" s="699"/>
    </row>
    <row r="12" spans="1:43" ht="20.25">
      <c r="A12" s="50" t="s">
        <v>63</v>
      </c>
      <c r="B12" s="699" t="s">
        <v>905</v>
      </c>
      <c r="C12" s="699"/>
      <c r="D12" s="699"/>
      <c r="E12" s="699"/>
      <c r="F12" s="699"/>
      <c r="G12" s="699"/>
      <c r="H12" s="699"/>
      <c r="I12" s="699"/>
      <c r="J12" s="699"/>
      <c r="K12" s="699"/>
      <c r="L12" s="699"/>
      <c r="M12" s="699"/>
      <c r="N12" s="699"/>
      <c r="O12" s="699"/>
      <c r="P12" s="699"/>
      <c r="Q12" s="699"/>
      <c r="R12" s="699"/>
      <c r="S12" s="699"/>
      <c r="T12" s="699"/>
      <c r="U12" s="699"/>
      <c r="V12" s="699"/>
    </row>
    <row r="13" spans="1:43" ht="20.25">
      <c r="A13" s="50" t="s">
        <v>65</v>
      </c>
      <c r="B13" s="938" t="s">
        <v>503</v>
      </c>
      <c r="C13" s="939"/>
      <c r="D13" s="939"/>
      <c r="E13" s="939"/>
      <c r="F13" s="939"/>
      <c r="G13" s="939"/>
      <c r="H13" s="939"/>
      <c r="I13" s="939"/>
      <c r="J13" s="939"/>
      <c r="K13" s="939"/>
      <c r="L13" s="939"/>
      <c r="M13" s="939"/>
      <c r="N13" s="939"/>
      <c r="O13" s="939"/>
      <c r="P13" s="939"/>
      <c r="Q13" s="939"/>
      <c r="R13" s="939"/>
      <c r="S13" s="939"/>
      <c r="T13" s="939"/>
      <c r="U13" s="939"/>
      <c r="V13" s="940"/>
    </row>
    <row r="15" spans="1:43" ht="15.75" thickBot="1">
      <c r="A15" s="708" t="s">
        <v>66</v>
      </c>
      <c r="B15" s="696" t="s">
        <v>70</v>
      </c>
      <c r="C15" s="714" t="s">
        <v>23</v>
      </c>
      <c r="D15" s="714" t="s">
        <v>139</v>
      </c>
      <c r="E15" s="714" t="s">
        <v>184</v>
      </c>
      <c r="F15" s="714" t="s">
        <v>141</v>
      </c>
      <c r="G15" s="714" t="s">
        <v>101</v>
      </c>
      <c r="H15" s="714" t="s">
        <v>142</v>
      </c>
      <c r="I15" s="710" t="s">
        <v>71</v>
      </c>
      <c r="J15" s="710"/>
      <c r="K15" s="710"/>
      <c r="L15" s="710" t="s">
        <v>72</v>
      </c>
      <c r="M15" s="710"/>
      <c r="N15" s="710"/>
      <c r="O15" s="710" t="s">
        <v>73</v>
      </c>
      <c r="P15" s="710"/>
      <c r="Q15" s="710"/>
      <c r="R15" s="710" t="s">
        <v>74</v>
      </c>
      <c r="S15" s="710"/>
      <c r="T15" s="710"/>
      <c r="U15" s="696" t="s">
        <v>75</v>
      </c>
      <c r="V15" s="696" t="s">
        <v>185</v>
      </c>
      <c r="X15" s="81"/>
      <c r="Y15" s="81"/>
      <c r="Z15" s="81"/>
      <c r="AA15" s="81"/>
      <c r="AB15" s="81"/>
      <c r="AC15" s="81"/>
      <c r="AD15" s="81"/>
      <c r="AE15" s="81"/>
      <c r="AF15" s="81"/>
      <c r="AG15" s="81"/>
      <c r="AH15" s="81"/>
      <c r="AI15" s="81"/>
      <c r="AJ15" s="81"/>
      <c r="AK15" s="81"/>
      <c r="AL15" s="81"/>
      <c r="AM15" s="81"/>
      <c r="AN15" s="81"/>
      <c r="AO15" s="81"/>
      <c r="AP15" s="81"/>
      <c r="AQ15" s="81"/>
    </row>
    <row r="16" spans="1:43" s="53" customFormat="1" ht="30">
      <c r="A16" s="709"/>
      <c r="B16" s="696"/>
      <c r="C16" s="715"/>
      <c r="D16" s="715"/>
      <c r="E16" s="715"/>
      <c r="F16" s="715"/>
      <c r="G16" s="715"/>
      <c r="H16" s="715"/>
      <c r="I16" s="52" t="s">
        <v>79</v>
      </c>
      <c r="J16" s="52" t="s">
        <v>80</v>
      </c>
      <c r="K16" s="52" t="s">
        <v>81</v>
      </c>
      <c r="L16" s="52" t="s">
        <v>82</v>
      </c>
      <c r="M16" s="52" t="s">
        <v>83</v>
      </c>
      <c r="N16" s="52" t="s">
        <v>84</v>
      </c>
      <c r="O16" s="52" t="s">
        <v>85</v>
      </c>
      <c r="P16" s="52" t="s">
        <v>86</v>
      </c>
      <c r="Q16" s="52" t="s">
        <v>87</v>
      </c>
      <c r="R16" s="52" t="s">
        <v>88</v>
      </c>
      <c r="S16" s="52" t="s">
        <v>89</v>
      </c>
      <c r="T16" s="52" t="s">
        <v>90</v>
      </c>
      <c r="U16" s="696"/>
      <c r="V16" s="696"/>
      <c r="X16" s="82" t="s">
        <v>79</v>
      </c>
      <c r="Y16" s="82" t="s">
        <v>80</v>
      </c>
      <c r="Z16" s="82" t="s">
        <v>81</v>
      </c>
      <c r="AA16" s="82" t="s">
        <v>159</v>
      </c>
      <c r="AB16" s="82" t="s">
        <v>160</v>
      </c>
      <c r="AC16" s="82" t="s">
        <v>82</v>
      </c>
      <c r="AD16" s="82" t="s">
        <v>83</v>
      </c>
      <c r="AE16" s="82" t="s">
        <v>84</v>
      </c>
      <c r="AF16" s="82" t="s">
        <v>161</v>
      </c>
      <c r="AG16" s="82" t="s">
        <v>162</v>
      </c>
      <c r="AH16" s="82" t="s">
        <v>85</v>
      </c>
      <c r="AI16" s="82" t="s">
        <v>86</v>
      </c>
      <c r="AJ16" s="82" t="s">
        <v>87</v>
      </c>
      <c r="AK16" s="82" t="s">
        <v>163</v>
      </c>
      <c r="AL16" s="82" t="s">
        <v>164</v>
      </c>
      <c r="AM16" s="82" t="s">
        <v>88</v>
      </c>
      <c r="AN16" s="82" t="s">
        <v>89</v>
      </c>
      <c r="AO16" s="82" t="s">
        <v>90</v>
      </c>
      <c r="AP16" s="82" t="s">
        <v>165</v>
      </c>
      <c r="AQ16" s="82" t="s">
        <v>166</v>
      </c>
    </row>
    <row r="17" spans="1:22" ht="14.25" customHeight="1">
      <c r="A17" s="706" t="s">
        <v>1200</v>
      </c>
      <c r="B17" s="706" t="s">
        <v>1237</v>
      </c>
      <c r="C17" s="765" t="s">
        <v>298</v>
      </c>
      <c r="D17" s="36" t="s">
        <v>796</v>
      </c>
      <c r="E17" s="36" t="s">
        <v>146</v>
      </c>
      <c r="F17" s="36" t="s">
        <v>147</v>
      </c>
      <c r="G17" s="36">
        <v>40</v>
      </c>
      <c r="H17" s="74">
        <v>250</v>
      </c>
      <c r="I17" s="62">
        <v>0</v>
      </c>
      <c r="J17" s="62">
        <v>0</v>
      </c>
      <c r="K17" s="62">
        <v>0</v>
      </c>
      <c r="L17" s="62">
        <v>0</v>
      </c>
      <c r="M17" s="62">
        <v>0</v>
      </c>
      <c r="N17" s="62">
        <v>0</v>
      </c>
      <c r="O17" s="35">
        <f>G17*H17</f>
        <v>10000</v>
      </c>
      <c r="P17" s="62">
        <v>0</v>
      </c>
      <c r="Q17" s="62">
        <v>0</v>
      </c>
      <c r="R17" s="62">
        <v>0</v>
      </c>
      <c r="S17" s="62">
        <v>0</v>
      </c>
      <c r="T17" s="62">
        <v>0</v>
      </c>
      <c r="U17" s="35">
        <f t="shared" ref="U17:U28" si="0">SUM(I17:T17)</f>
        <v>10000</v>
      </c>
      <c r="V17" s="37"/>
    </row>
    <row r="18" spans="1:22">
      <c r="A18" s="716"/>
      <c r="B18" s="716"/>
      <c r="C18" s="766"/>
      <c r="D18" s="36" t="s">
        <v>734</v>
      </c>
      <c r="E18" s="36" t="s">
        <v>146</v>
      </c>
      <c r="F18" s="36" t="s">
        <v>147</v>
      </c>
      <c r="G18" s="36">
        <v>40</v>
      </c>
      <c r="H18" s="74">
        <v>500</v>
      </c>
      <c r="I18" s="62">
        <v>0</v>
      </c>
      <c r="J18" s="62">
        <v>0</v>
      </c>
      <c r="K18" s="62">
        <v>0</v>
      </c>
      <c r="L18" s="62">
        <v>0</v>
      </c>
      <c r="M18" s="62">
        <v>0</v>
      </c>
      <c r="N18" s="62">
        <v>0</v>
      </c>
      <c r="O18" s="35">
        <f>G18*H18</f>
        <v>20000</v>
      </c>
      <c r="P18" s="62">
        <v>0</v>
      </c>
      <c r="Q18" s="62">
        <v>0</v>
      </c>
      <c r="R18" s="62">
        <v>0</v>
      </c>
      <c r="S18" s="62">
        <v>0</v>
      </c>
      <c r="T18" s="62">
        <v>0</v>
      </c>
      <c r="U18" s="35">
        <f t="shared" si="0"/>
        <v>20000</v>
      </c>
      <c r="V18" s="37"/>
    </row>
    <row r="19" spans="1:22">
      <c r="A19" s="716"/>
      <c r="B19" s="716"/>
      <c r="C19" s="766"/>
      <c r="D19" s="36" t="s">
        <v>939</v>
      </c>
      <c r="E19" s="36" t="s">
        <v>146</v>
      </c>
      <c r="F19" s="36" t="s">
        <v>147</v>
      </c>
      <c r="G19" s="36">
        <v>40</v>
      </c>
      <c r="H19" s="74">
        <v>125</v>
      </c>
      <c r="I19" s="62">
        <v>0</v>
      </c>
      <c r="J19" s="62">
        <v>0</v>
      </c>
      <c r="K19" s="62">
        <v>0</v>
      </c>
      <c r="L19" s="62">
        <v>0</v>
      </c>
      <c r="M19" s="62">
        <v>0</v>
      </c>
      <c r="N19" s="62">
        <v>0</v>
      </c>
      <c r="O19" s="35">
        <f>G19*H19</f>
        <v>5000</v>
      </c>
      <c r="P19" s="62">
        <v>0</v>
      </c>
      <c r="Q19" s="62">
        <v>0</v>
      </c>
      <c r="R19" s="62">
        <v>0</v>
      </c>
      <c r="S19" s="62">
        <v>0</v>
      </c>
      <c r="T19" s="62">
        <v>0</v>
      </c>
      <c r="U19" s="35">
        <f t="shared" si="0"/>
        <v>5000</v>
      </c>
      <c r="V19" s="37"/>
    </row>
    <row r="20" spans="1:22" ht="28.5">
      <c r="A20" s="716"/>
      <c r="B20" s="707"/>
      <c r="C20" s="767"/>
      <c r="D20" s="55" t="s">
        <v>940</v>
      </c>
      <c r="E20" s="55" t="s">
        <v>792</v>
      </c>
      <c r="F20" s="36" t="s">
        <v>78</v>
      </c>
      <c r="G20" s="36">
        <v>1</v>
      </c>
      <c r="H20" s="354">
        <v>50000</v>
      </c>
      <c r="I20" s="62">
        <v>0</v>
      </c>
      <c r="J20" s="62">
        <v>0</v>
      </c>
      <c r="K20" s="62">
        <v>0</v>
      </c>
      <c r="L20" s="62">
        <v>0</v>
      </c>
      <c r="M20" s="62">
        <v>0</v>
      </c>
      <c r="N20" s="62">
        <v>0</v>
      </c>
      <c r="O20" s="35">
        <f>G20*H20</f>
        <v>50000</v>
      </c>
      <c r="P20" s="62">
        <v>0</v>
      </c>
      <c r="Q20" s="62">
        <v>0</v>
      </c>
      <c r="R20" s="62">
        <v>0</v>
      </c>
      <c r="S20" s="62">
        <v>0</v>
      </c>
      <c r="T20" s="62">
        <v>0</v>
      </c>
      <c r="U20" s="93">
        <f t="shared" si="0"/>
        <v>50000</v>
      </c>
      <c r="V20" s="37"/>
    </row>
    <row r="21" spans="1:22" ht="15" customHeight="1">
      <c r="A21" s="716"/>
      <c r="B21" s="706" t="s">
        <v>1238</v>
      </c>
      <c r="C21" s="765" t="s">
        <v>298</v>
      </c>
      <c r="D21" s="36" t="s">
        <v>796</v>
      </c>
      <c r="E21" s="36" t="s">
        <v>146</v>
      </c>
      <c r="F21" s="36" t="s">
        <v>147</v>
      </c>
      <c r="G21" s="36">
        <v>40</v>
      </c>
      <c r="H21" s="74">
        <v>250</v>
      </c>
      <c r="I21" s="62">
        <v>0</v>
      </c>
      <c r="J21" s="62">
        <v>0</v>
      </c>
      <c r="K21" s="62">
        <v>0</v>
      </c>
      <c r="L21" s="62">
        <v>0</v>
      </c>
      <c r="M21" s="62">
        <v>0</v>
      </c>
      <c r="N21" s="62">
        <v>0</v>
      </c>
      <c r="O21" s="35"/>
      <c r="P21" s="62">
        <v>0</v>
      </c>
      <c r="Q21" s="153">
        <v>10125</v>
      </c>
      <c r="R21" s="62">
        <v>0</v>
      </c>
      <c r="S21" s="62">
        <v>0</v>
      </c>
      <c r="T21" s="62">
        <v>0</v>
      </c>
      <c r="U21" s="35">
        <f t="shared" ref="U21:U24" si="1">SUM(I21:T21)</f>
        <v>10125</v>
      </c>
      <c r="V21" s="37"/>
    </row>
    <row r="22" spans="1:22">
      <c r="A22" s="716"/>
      <c r="B22" s="716"/>
      <c r="C22" s="766"/>
      <c r="D22" s="36" t="s">
        <v>734</v>
      </c>
      <c r="E22" s="36" t="s">
        <v>146</v>
      </c>
      <c r="F22" s="36" t="s">
        <v>147</v>
      </c>
      <c r="G22" s="36">
        <v>40</v>
      </c>
      <c r="H22" s="74">
        <v>500</v>
      </c>
      <c r="I22" s="62">
        <v>0</v>
      </c>
      <c r="J22" s="62">
        <v>0</v>
      </c>
      <c r="K22" s="62">
        <v>0</v>
      </c>
      <c r="L22" s="62">
        <v>0</v>
      </c>
      <c r="M22" s="62">
        <v>0</v>
      </c>
      <c r="N22" s="62">
        <v>0</v>
      </c>
      <c r="O22" s="35"/>
      <c r="P22" s="62">
        <v>0</v>
      </c>
      <c r="Q22" s="153">
        <v>20000</v>
      </c>
      <c r="R22" s="62">
        <v>0</v>
      </c>
      <c r="S22" s="62">
        <v>0</v>
      </c>
      <c r="T22" s="62">
        <v>0</v>
      </c>
      <c r="U22" s="35">
        <f t="shared" si="1"/>
        <v>20000</v>
      </c>
      <c r="V22" s="37"/>
    </row>
    <row r="23" spans="1:22">
      <c r="A23" s="716"/>
      <c r="B23" s="716"/>
      <c r="C23" s="766"/>
      <c r="D23" s="36" t="s">
        <v>939</v>
      </c>
      <c r="E23" s="36" t="s">
        <v>146</v>
      </c>
      <c r="F23" s="36" t="s">
        <v>147</v>
      </c>
      <c r="G23" s="36">
        <v>40</v>
      </c>
      <c r="H23" s="74">
        <v>125</v>
      </c>
      <c r="I23" s="62">
        <v>0</v>
      </c>
      <c r="J23" s="62">
        <v>0</v>
      </c>
      <c r="K23" s="62">
        <v>0</v>
      </c>
      <c r="L23" s="62">
        <v>0</v>
      </c>
      <c r="M23" s="62">
        <v>0</v>
      </c>
      <c r="N23" s="62">
        <v>0</v>
      </c>
      <c r="O23" s="35"/>
      <c r="P23" s="62">
        <v>0</v>
      </c>
      <c r="Q23" s="153">
        <v>5000</v>
      </c>
      <c r="R23" s="62">
        <v>0</v>
      </c>
      <c r="S23" s="62">
        <v>0</v>
      </c>
      <c r="T23" s="62">
        <v>0</v>
      </c>
      <c r="U23" s="35">
        <f t="shared" si="1"/>
        <v>5000</v>
      </c>
      <c r="V23" s="37"/>
    </row>
    <row r="24" spans="1:22" ht="28.5">
      <c r="A24" s="707"/>
      <c r="B24" s="707"/>
      <c r="C24" s="767"/>
      <c r="D24" s="55" t="s">
        <v>940</v>
      </c>
      <c r="E24" s="55" t="s">
        <v>792</v>
      </c>
      <c r="F24" s="36" t="s">
        <v>78</v>
      </c>
      <c r="G24" s="36">
        <v>1</v>
      </c>
      <c r="H24" s="354">
        <v>50000</v>
      </c>
      <c r="I24" s="62">
        <v>0</v>
      </c>
      <c r="J24" s="62">
        <v>0</v>
      </c>
      <c r="K24" s="62">
        <v>0</v>
      </c>
      <c r="L24" s="62">
        <v>0</v>
      </c>
      <c r="M24" s="62">
        <v>0</v>
      </c>
      <c r="N24" s="62">
        <v>0</v>
      </c>
      <c r="O24" s="35"/>
      <c r="P24" s="62">
        <v>0</v>
      </c>
      <c r="Q24" s="153">
        <v>50000</v>
      </c>
      <c r="R24" s="62">
        <v>0</v>
      </c>
      <c r="S24" s="62">
        <v>0</v>
      </c>
      <c r="T24" s="62">
        <v>0</v>
      </c>
      <c r="U24" s="93">
        <f t="shared" si="1"/>
        <v>50000</v>
      </c>
      <c r="V24" s="37"/>
    </row>
    <row r="25" spans="1:22" ht="28.5">
      <c r="A25" s="910" t="s">
        <v>1243</v>
      </c>
      <c r="B25" s="910" t="s">
        <v>1244</v>
      </c>
      <c r="C25" s="924" t="s">
        <v>298</v>
      </c>
      <c r="D25" s="59" t="s">
        <v>940</v>
      </c>
      <c r="E25" s="59" t="s">
        <v>792</v>
      </c>
      <c r="F25" s="60" t="s">
        <v>78</v>
      </c>
      <c r="G25" s="60">
        <v>1</v>
      </c>
      <c r="H25" s="425">
        <v>50000</v>
      </c>
      <c r="I25" s="61">
        <v>0</v>
      </c>
      <c r="J25" s="61">
        <v>0</v>
      </c>
      <c r="K25" s="61">
        <v>0</v>
      </c>
      <c r="L25" s="61">
        <v>0</v>
      </c>
      <c r="M25" s="61">
        <v>0</v>
      </c>
      <c r="N25" s="61">
        <v>0</v>
      </c>
      <c r="O25" s="61">
        <v>0</v>
      </c>
      <c r="P25" s="61">
        <v>0</v>
      </c>
      <c r="Q25" s="61">
        <v>0</v>
      </c>
      <c r="R25" s="61">
        <v>0</v>
      </c>
      <c r="S25" s="61">
        <v>0</v>
      </c>
      <c r="T25" s="154">
        <f>H25</f>
        <v>50000</v>
      </c>
      <c r="U25" s="92">
        <f>T25</f>
        <v>50000</v>
      </c>
      <c r="V25" s="91"/>
    </row>
    <row r="26" spans="1:22">
      <c r="A26" s="911"/>
      <c r="B26" s="911"/>
      <c r="C26" s="926"/>
      <c r="D26" s="59" t="s">
        <v>734</v>
      </c>
      <c r="E26" s="59" t="s">
        <v>146</v>
      </c>
      <c r="F26" s="60" t="s">
        <v>147</v>
      </c>
      <c r="G26" s="60">
        <v>16</v>
      </c>
      <c r="H26" s="220">
        <v>500</v>
      </c>
      <c r="I26" s="61"/>
      <c r="J26" s="61"/>
      <c r="K26" s="61"/>
      <c r="L26" s="61"/>
      <c r="M26" s="61"/>
      <c r="N26" s="61"/>
      <c r="O26" s="61"/>
      <c r="P26" s="61"/>
      <c r="Q26" s="61"/>
      <c r="R26" s="61"/>
      <c r="S26" s="61"/>
      <c r="T26" s="154">
        <f>H26*G26</f>
        <v>8000</v>
      </c>
      <c r="U26" s="92">
        <f>T26</f>
        <v>8000</v>
      </c>
      <c r="V26" s="91"/>
    </row>
    <row r="27" spans="1:22" ht="14.25" customHeight="1">
      <c r="A27" s="706" t="s">
        <v>1242</v>
      </c>
      <c r="B27" s="706" t="s">
        <v>923</v>
      </c>
      <c r="C27" s="765" t="s">
        <v>298</v>
      </c>
      <c r="D27" s="36" t="s">
        <v>796</v>
      </c>
      <c r="E27" s="36" t="s">
        <v>146</v>
      </c>
      <c r="F27" s="36" t="s">
        <v>147</v>
      </c>
      <c r="G27" s="36">
        <v>20</v>
      </c>
      <c r="H27" s="74">
        <v>350</v>
      </c>
      <c r="I27" s="62">
        <v>0</v>
      </c>
      <c r="J27" s="62">
        <v>0</v>
      </c>
      <c r="K27" s="62">
        <v>0</v>
      </c>
      <c r="L27" s="153">
        <v>5250</v>
      </c>
      <c r="M27" s="62">
        <v>0</v>
      </c>
      <c r="N27" s="62">
        <v>0</v>
      </c>
      <c r="O27" s="35">
        <f>H27*15</f>
        <v>5250</v>
      </c>
      <c r="P27" s="62">
        <v>0</v>
      </c>
      <c r="Q27" s="62">
        <v>0</v>
      </c>
      <c r="R27" s="153">
        <v>5250</v>
      </c>
      <c r="S27" s="62">
        <v>0</v>
      </c>
      <c r="T27" s="153">
        <v>5250</v>
      </c>
      <c r="U27" s="35">
        <f t="shared" si="0"/>
        <v>21000</v>
      </c>
      <c r="V27" s="37"/>
    </row>
    <row r="28" spans="1:22">
      <c r="A28" s="707"/>
      <c r="B28" s="707"/>
      <c r="C28" s="767"/>
      <c r="D28" s="36" t="s">
        <v>939</v>
      </c>
      <c r="E28" s="36" t="s">
        <v>146</v>
      </c>
      <c r="F28" s="36" t="s">
        <v>147</v>
      </c>
      <c r="G28" s="36">
        <v>20</v>
      </c>
      <c r="H28" s="74">
        <v>200</v>
      </c>
      <c r="I28" s="62">
        <v>0</v>
      </c>
      <c r="J28" s="62">
        <v>0</v>
      </c>
      <c r="K28" s="62">
        <v>0</v>
      </c>
      <c r="L28" s="153">
        <v>3000</v>
      </c>
      <c r="M28" s="62">
        <v>0</v>
      </c>
      <c r="N28" s="62">
        <v>0</v>
      </c>
      <c r="O28" s="35">
        <f>H28*15</f>
        <v>3000</v>
      </c>
      <c r="P28" s="62">
        <v>0</v>
      </c>
      <c r="Q28" s="62">
        <v>0</v>
      </c>
      <c r="R28" s="153">
        <v>3000</v>
      </c>
      <c r="S28" s="62">
        <v>0</v>
      </c>
      <c r="T28" s="153">
        <v>3000</v>
      </c>
      <c r="U28" s="35">
        <f t="shared" si="0"/>
        <v>12000</v>
      </c>
      <c r="V28" s="37"/>
    </row>
    <row r="29" spans="1:22" ht="28.5" customHeight="1">
      <c r="A29" s="910" t="s">
        <v>1216</v>
      </c>
      <c r="B29" s="910" t="s">
        <v>1241</v>
      </c>
      <c r="C29" s="59" t="s">
        <v>298</v>
      </c>
      <c r="D29" s="59" t="s">
        <v>941</v>
      </c>
      <c r="E29" s="59" t="s">
        <v>196</v>
      </c>
      <c r="F29" s="60" t="s">
        <v>150</v>
      </c>
      <c r="G29" s="60">
        <v>30</v>
      </c>
      <c r="H29" s="426">
        <v>500</v>
      </c>
      <c r="I29" s="61">
        <v>0</v>
      </c>
      <c r="J29" s="61">
        <v>0</v>
      </c>
      <c r="K29" s="61">
        <v>0</v>
      </c>
      <c r="L29" s="61">
        <v>0</v>
      </c>
      <c r="M29" s="61">
        <v>0</v>
      </c>
      <c r="N29" s="61">
        <v>0</v>
      </c>
      <c r="O29" s="61">
        <v>0</v>
      </c>
      <c r="P29" s="61">
        <v>0</v>
      </c>
      <c r="Q29" s="415">
        <f>+G29*H29</f>
        <v>15000</v>
      </c>
      <c r="R29" s="61">
        <v>0</v>
      </c>
      <c r="S29" s="61">
        <v>0</v>
      </c>
      <c r="T29" s="61">
        <v>0</v>
      </c>
      <c r="U29" s="68">
        <f>SUM(I29:T29)</f>
        <v>15000</v>
      </c>
      <c r="V29" s="91"/>
    </row>
    <row r="30" spans="1:22" ht="28.5">
      <c r="A30" s="923"/>
      <c r="B30" s="911"/>
      <c r="C30" s="59" t="s">
        <v>298</v>
      </c>
      <c r="D30" s="59" t="s">
        <v>940</v>
      </c>
      <c r="E30" s="59" t="s">
        <v>942</v>
      </c>
      <c r="F30" s="60" t="s">
        <v>150</v>
      </c>
      <c r="G30" s="60">
        <v>1</v>
      </c>
      <c r="H30" s="426">
        <v>50000</v>
      </c>
      <c r="I30" s="61">
        <v>0</v>
      </c>
      <c r="J30" s="61">
        <v>0</v>
      </c>
      <c r="K30" s="61">
        <v>0</v>
      </c>
      <c r="L30" s="61">
        <v>0</v>
      </c>
      <c r="M30" s="61">
        <v>0</v>
      </c>
      <c r="N30" s="61">
        <v>0</v>
      </c>
      <c r="O30" s="61">
        <v>0</v>
      </c>
      <c r="P30" s="61">
        <v>0</v>
      </c>
      <c r="Q30" s="415">
        <f>+G30*H30</f>
        <v>50000</v>
      </c>
      <c r="R30" s="61">
        <v>0</v>
      </c>
      <c r="S30" s="61">
        <v>0</v>
      </c>
      <c r="T30" s="61">
        <v>0</v>
      </c>
      <c r="U30" s="68">
        <f t="shared" ref="U30:U36" si="2">SUM(I30:T30)</f>
        <v>50000</v>
      </c>
      <c r="V30" s="91"/>
    </row>
    <row r="31" spans="1:22">
      <c r="A31" s="923"/>
      <c r="B31" s="910" t="s">
        <v>1220</v>
      </c>
      <c r="C31" s="924" t="s">
        <v>298</v>
      </c>
      <c r="D31" s="60" t="s">
        <v>796</v>
      </c>
      <c r="E31" s="60" t="s">
        <v>146</v>
      </c>
      <c r="F31" s="60" t="s">
        <v>147</v>
      </c>
      <c r="G31" s="60">
        <v>65</v>
      </c>
      <c r="H31" s="220">
        <v>250</v>
      </c>
      <c r="I31" s="61">
        <v>0</v>
      </c>
      <c r="J31" s="61">
        <v>0</v>
      </c>
      <c r="K31" s="154">
        <f>H31*G31</f>
        <v>16250</v>
      </c>
      <c r="L31" s="61">
        <v>0</v>
      </c>
      <c r="M31" s="61">
        <v>0</v>
      </c>
      <c r="N31" s="61">
        <v>0</v>
      </c>
      <c r="O31" s="61">
        <v>0</v>
      </c>
      <c r="P31" s="61">
        <v>0</v>
      </c>
      <c r="Q31" s="61">
        <v>0</v>
      </c>
      <c r="R31" s="61">
        <v>0</v>
      </c>
      <c r="S31" s="61">
        <v>0</v>
      </c>
      <c r="T31" s="61">
        <v>0</v>
      </c>
      <c r="U31" s="68">
        <f>SUM(I31:T31)</f>
        <v>16250</v>
      </c>
      <c r="V31" s="91"/>
    </row>
    <row r="32" spans="1:22">
      <c r="A32" s="923"/>
      <c r="B32" s="923"/>
      <c r="C32" s="925"/>
      <c r="D32" s="60" t="s">
        <v>734</v>
      </c>
      <c r="E32" s="60" t="s">
        <v>146</v>
      </c>
      <c r="F32" s="60" t="s">
        <v>147</v>
      </c>
      <c r="G32" s="60">
        <v>65</v>
      </c>
      <c r="H32" s="220">
        <v>500</v>
      </c>
      <c r="I32" s="61">
        <v>0</v>
      </c>
      <c r="J32" s="61">
        <v>0</v>
      </c>
      <c r="K32" s="154">
        <f>H32*G32</f>
        <v>32500</v>
      </c>
      <c r="L32" s="61">
        <v>0</v>
      </c>
      <c r="M32" s="61">
        <v>0</v>
      </c>
      <c r="N32" s="61">
        <v>0</v>
      </c>
      <c r="O32" s="61">
        <v>0</v>
      </c>
      <c r="P32" s="61">
        <v>0</v>
      </c>
      <c r="Q32" s="61">
        <v>0</v>
      </c>
      <c r="R32" s="61">
        <v>0</v>
      </c>
      <c r="S32" s="61">
        <v>0</v>
      </c>
      <c r="T32" s="61">
        <v>0</v>
      </c>
      <c r="U32" s="68">
        <f t="shared" ref="U32:U34" si="3">SUM(I32:T32)</f>
        <v>32500</v>
      </c>
      <c r="V32" s="91"/>
    </row>
    <row r="33" spans="1:22">
      <c r="A33" s="923"/>
      <c r="B33" s="923"/>
      <c r="C33" s="925"/>
      <c r="D33" s="60" t="s">
        <v>939</v>
      </c>
      <c r="E33" s="60" t="s">
        <v>146</v>
      </c>
      <c r="F33" s="60" t="s">
        <v>147</v>
      </c>
      <c r="G33" s="60">
        <v>65</v>
      </c>
      <c r="H33" s="220">
        <v>125</v>
      </c>
      <c r="I33" s="61">
        <v>0</v>
      </c>
      <c r="J33" s="61">
        <v>0</v>
      </c>
      <c r="K33" s="154">
        <f>H33*G33</f>
        <v>8125</v>
      </c>
      <c r="L33" s="61">
        <v>0</v>
      </c>
      <c r="M33" s="61">
        <v>0</v>
      </c>
      <c r="N33" s="61">
        <v>0</v>
      </c>
      <c r="O33" s="61">
        <v>0</v>
      </c>
      <c r="P33" s="61">
        <v>0</v>
      </c>
      <c r="Q33" s="61">
        <v>0</v>
      </c>
      <c r="R33" s="61">
        <v>0</v>
      </c>
      <c r="S33" s="61">
        <v>0</v>
      </c>
      <c r="T33" s="61">
        <v>0</v>
      </c>
      <c r="U33" s="68">
        <f t="shared" si="3"/>
        <v>8125</v>
      </c>
      <c r="V33" s="91"/>
    </row>
    <row r="34" spans="1:22">
      <c r="A34" s="911"/>
      <c r="B34" s="911"/>
      <c r="C34" s="926"/>
      <c r="D34" s="59" t="s">
        <v>1236</v>
      </c>
      <c r="E34" s="59" t="s">
        <v>792</v>
      </c>
      <c r="F34" s="60" t="s">
        <v>78</v>
      </c>
      <c r="G34" s="60">
        <v>1</v>
      </c>
      <c r="H34" s="425">
        <v>100000</v>
      </c>
      <c r="I34" s="61">
        <v>0</v>
      </c>
      <c r="J34" s="61">
        <v>0</v>
      </c>
      <c r="K34" s="154">
        <f>H34</f>
        <v>100000</v>
      </c>
      <c r="L34" s="61">
        <v>0</v>
      </c>
      <c r="M34" s="61">
        <v>0</v>
      </c>
      <c r="N34" s="61">
        <v>0</v>
      </c>
      <c r="O34" s="61">
        <v>0</v>
      </c>
      <c r="P34" s="61">
        <v>0</v>
      </c>
      <c r="Q34" s="61">
        <v>0</v>
      </c>
      <c r="R34" s="61">
        <v>0</v>
      </c>
      <c r="S34" s="61">
        <v>0</v>
      </c>
      <c r="T34" s="61">
        <v>0</v>
      </c>
      <c r="U34" s="68">
        <f t="shared" si="3"/>
        <v>100000</v>
      </c>
      <c r="V34" s="91"/>
    </row>
    <row r="35" spans="1:22" ht="28.5">
      <c r="A35" s="706" t="s">
        <v>1224</v>
      </c>
      <c r="B35" s="34" t="s">
        <v>1239</v>
      </c>
      <c r="C35" s="55" t="s">
        <v>298</v>
      </c>
      <c r="D35" s="36" t="s">
        <v>588</v>
      </c>
      <c r="E35" s="36" t="s">
        <v>146</v>
      </c>
      <c r="F35" s="36" t="s">
        <v>147</v>
      </c>
      <c r="G35" s="36">
        <v>60</v>
      </c>
      <c r="H35" s="355">
        <v>350</v>
      </c>
      <c r="I35" s="62">
        <v>0</v>
      </c>
      <c r="J35" s="62">
        <v>0</v>
      </c>
      <c r="K35" s="427">
        <f>+H35*20</f>
        <v>7000</v>
      </c>
      <c r="L35" s="62">
        <v>0</v>
      </c>
      <c r="M35" s="62">
        <v>0</v>
      </c>
      <c r="N35" s="427">
        <f>+H35*20</f>
        <v>7000</v>
      </c>
      <c r="O35" s="62">
        <v>0</v>
      </c>
      <c r="P35" s="62">
        <v>0</v>
      </c>
      <c r="Q35" s="62">
        <v>0</v>
      </c>
      <c r="R35" s="62">
        <v>0</v>
      </c>
      <c r="S35" s="427">
        <f>+H35*20</f>
        <v>7000</v>
      </c>
      <c r="T35" s="62">
        <v>0</v>
      </c>
      <c r="U35" s="35">
        <f t="shared" si="2"/>
        <v>21000</v>
      </c>
      <c r="V35" s="37"/>
    </row>
    <row r="36" spans="1:22" ht="28.5">
      <c r="A36" s="716"/>
      <c r="B36" s="34" t="s">
        <v>1240</v>
      </c>
      <c r="C36" s="55" t="s">
        <v>298</v>
      </c>
      <c r="D36" s="36" t="s">
        <v>588</v>
      </c>
      <c r="E36" s="36" t="s">
        <v>146</v>
      </c>
      <c r="F36" s="36" t="s">
        <v>147</v>
      </c>
      <c r="G36" s="36">
        <v>270</v>
      </c>
      <c r="H36" s="355">
        <v>350</v>
      </c>
      <c r="I36" s="427">
        <v>7800</v>
      </c>
      <c r="J36" s="427">
        <f>6*350*(4)</f>
        <v>8400</v>
      </c>
      <c r="K36" s="427">
        <f>6*350*(4)</f>
        <v>8400</v>
      </c>
      <c r="L36" s="427">
        <f>6*350*(4)</f>
        <v>8400</v>
      </c>
      <c r="M36" s="427">
        <f>6*350*(5)</f>
        <v>10500</v>
      </c>
      <c r="N36" s="427">
        <f>6*350*(4)</f>
        <v>8400</v>
      </c>
      <c r="O36" s="427">
        <f>6*350*(4)</f>
        <v>8400</v>
      </c>
      <c r="P36" s="427">
        <f>6*350*(4)</f>
        <v>8400</v>
      </c>
      <c r="Q36" s="427">
        <f>6*350*(5)</f>
        <v>10500</v>
      </c>
      <c r="R36" s="427">
        <f>6*350*(4)</f>
        <v>8400</v>
      </c>
      <c r="S36" s="427">
        <f>6*350*(4)</f>
        <v>8400</v>
      </c>
      <c r="T36" s="62">
        <v>0</v>
      </c>
      <c r="U36" s="35">
        <f t="shared" si="2"/>
        <v>96000</v>
      </c>
      <c r="V36" s="37"/>
    </row>
    <row r="37" spans="1:22" ht="15">
      <c r="A37" s="798" t="s">
        <v>13</v>
      </c>
      <c r="B37" s="799"/>
      <c r="C37" s="799"/>
      <c r="D37" s="799"/>
      <c r="E37" s="799"/>
      <c r="F37" s="799"/>
      <c r="G37" s="799"/>
      <c r="H37" s="800"/>
      <c r="I37" s="316">
        <f>SUM(I17:I36)</f>
        <v>7800</v>
      </c>
      <c r="J37" s="316">
        <f t="shared" ref="J37:U37" si="4">SUM(J17:J36)</f>
        <v>8400</v>
      </c>
      <c r="K37" s="316">
        <f t="shared" si="4"/>
        <v>172275</v>
      </c>
      <c r="L37" s="316">
        <f t="shared" si="4"/>
        <v>16650</v>
      </c>
      <c r="M37" s="316">
        <f t="shared" si="4"/>
        <v>10500</v>
      </c>
      <c r="N37" s="316">
        <f t="shared" si="4"/>
        <v>15400</v>
      </c>
      <c r="O37" s="316">
        <f t="shared" si="4"/>
        <v>101650</v>
      </c>
      <c r="P37" s="316">
        <f t="shared" si="4"/>
        <v>8400</v>
      </c>
      <c r="Q37" s="316">
        <f t="shared" si="4"/>
        <v>160625</v>
      </c>
      <c r="R37" s="316">
        <f t="shared" si="4"/>
        <v>16650</v>
      </c>
      <c r="S37" s="316">
        <f t="shared" si="4"/>
        <v>15400</v>
      </c>
      <c r="T37" s="316">
        <f t="shared" si="4"/>
        <v>66250</v>
      </c>
      <c r="U37" s="316">
        <f t="shared" si="4"/>
        <v>600000</v>
      </c>
      <c r="V37" s="357"/>
    </row>
    <row r="38" spans="1:22">
      <c r="A38" s="27"/>
      <c r="B38" s="27"/>
      <c r="C38" s="64"/>
      <c r="D38" s="27"/>
      <c r="F38" s="27"/>
      <c r="G38" s="27"/>
      <c r="H38" s="27"/>
      <c r="I38" s="27"/>
      <c r="J38" s="27"/>
      <c r="K38" s="27"/>
      <c r="L38" s="27"/>
      <c r="M38" s="27"/>
      <c r="N38" s="27"/>
      <c r="O38" s="27"/>
      <c r="P38" s="27"/>
      <c r="Q38" s="27"/>
      <c r="R38" s="27"/>
      <c r="S38" s="27"/>
      <c r="T38" s="27"/>
      <c r="U38" s="27"/>
    </row>
    <row r="39" spans="1:22">
      <c r="A39" s="27"/>
      <c r="B39" s="27"/>
      <c r="C39" s="64"/>
      <c r="D39" s="27"/>
      <c r="F39" s="27"/>
      <c r="G39" s="27"/>
      <c r="H39" s="27"/>
      <c r="I39" s="27"/>
      <c r="J39" s="27"/>
      <c r="K39" s="27"/>
      <c r="L39" s="27"/>
      <c r="M39" s="27"/>
      <c r="N39" s="27"/>
      <c r="O39" s="27"/>
      <c r="P39" s="27"/>
      <c r="Q39" s="27"/>
      <c r="R39" s="27"/>
      <c r="S39" s="27"/>
      <c r="T39" s="27"/>
      <c r="U39" s="27"/>
    </row>
    <row r="40" spans="1:22">
      <c r="A40" s="27"/>
      <c r="B40" s="27"/>
      <c r="C40" s="64"/>
      <c r="D40" s="27"/>
      <c r="F40" s="27"/>
      <c r="G40" s="27"/>
      <c r="H40" s="27"/>
      <c r="I40" s="27"/>
      <c r="J40" s="27"/>
      <c r="K40" s="27"/>
      <c r="L40" s="27"/>
      <c r="M40" s="27"/>
      <c r="N40" s="27"/>
      <c r="O40" s="27"/>
      <c r="P40" s="27"/>
      <c r="Q40" s="27"/>
      <c r="R40" s="27"/>
      <c r="S40" s="27"/>
      <c r="T40" s="27"/>
      <c r="U40" s="27"/>
    </row>
    <row r="41" spans="1:22">
      <c r="A41" s="27"/>
      <c r="B41" s="27"/>
      <c r="C41" s="64"/>
      <c r="D41" s="27"/>
      <c r="F41" s="27"/>
      <c r="G41" s="27"/>
      <c r="H41" s="27"/>
      <c r="I41" s="27"/>
      <c r="J41" s="27"/>
      <c r="K41" s="27"/>
      <c r="L41" s="27"/>
      <c r="M41" s="27"/>
      <c r="N41" s="27"/>
      <c r="O41" s="27"/>
      <c r="P41" s="27"/>
      <c r="Q41" s="27"/>
      <c r="R41" s="27"/>
      <c r="S41" s="27"/>
      <c r="T41" s="27"/>
      <c r="U41" s="27"/>
    </row>
  </sheetData>
  <mergeCells count="37">
    <mergeCell ref="A35:A36"/>
    <mergeCell ref="A37:H37"/>
    <mergeCell ref="A27:A28"/>
    <mergeCell ref="C27:C28"/>
    <mergeCell ref="A29:A34"/>
    <mergeCell ref="B31:B34"/>
    <mergeCell ref="C31:C34"/>
    <mergeCell ref="A25:A26"/>
    <mergeCell ref="B25:B26"/>
    <mergeCell ref="C25:C26"/>
    <mergeCell ref="B27:B28"/>
    <mergeCell ref="B29:B30"/>
    <mergeCell ref="A15:A16"/>
    <mergeCell ref="B15:B16"/>
    <mergeCell ref="C15:C16"/>
    <mergeCell ref="A17:A24"/>
    <mergeCell ref="B17:B20"/>
    <mergeCell ref="C17:C20"/>
    <mergeCell ref="B21:B24"/>
    <mergeCell ref="C21:C24"/>
    <mergeCell ref="A8:V8"/>
    <mergeCell ref="A9:V9"/>
    <mergeCell ref="A10:V10"/>
    <mergeCell ref="B11:V11"/>
    <mergeCell ref="B12:V12"/>
    <mergeCell ref="B13:V13"/>
    <mergeCell ref="U15:U16"/>
    <mergeCell ref="V15:V16"/>
    <mergeCell ref="G15:G16"/>
    <mergeCell ref="H15:H16"/>
    <mergeCell ref="I15:K15"/>
    <mergeCell ref="L15:N15"/>
    <mergeCell ref="O15:Q15"/>
    <mergeCell ref="R15:T15"/>
    <mergeCell ref="D15:D16"/>
    <mergeCell ref="E15:E16"/>
    <mergeCell ref="F15:F16"/>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4CE5-F099-4490-8DC3-156C84011361}">
  <dimension ref="A2:K17"/>
  <sheetViews>
    <sheetView showGridLines="0" workbookViewId="0">
      <selection activeCell="B3" sqref="B3:C11"/>
    </sheetView>
  </sheetViews>
  <sheetFormatPr defaultColWidth="11.42578125" defaultRowHeight="14.25"/>
  <cols>
    <col min="1" max="1" width="4.7109375" style="27" customWidth="1"/>
    <col min="2" max="2" width="21.85546875" style="27" bestFit="1" customWidth="1"/>
    <col min="3" max="3" width="31.28515625" style="27" customWidth="1"/>
    <col min="4" max="8" width="11.42578125" style="27"/>
    <col min="9" max="9" width="21.85546875" style="27" customWidth="1"/>
    <col min="10" max="16384" width="11.42578125" style="27"/>
  </cols>
  <sheetData>
    <row r="2" spans="1:11" ht="15.75" thickBot="1">
      <c r="A2" s="378"/>
      <c r="B2" s="941" t="s">
        <v>1105</v>
      </c>
      <c r="C2" s="942"/>
      <c r="D2" s="239"/>
    </row>
    <row r="3" spans="1:11">
      <c r="B3" s="379" t="s">
        <v>1106</v>
      </c>
      <c r="C3" s="380" t="s">
        <v>1116</v>
      </c>
    </row>
    <row r="4" spans="1:11" ht="15" thickBot="1">
      <c r="B4" s="381" t="s">
        <v>1107</v>
      </c>
      <c r="C4" s="382"/>
      <c r="I4" s="383"/>
      <c r="J4" s="383"/>
      <c r="K4" s="383"/>
    </row>
    <row r="5" spans="1:11" ht="15" thickBot="1">
      <c r="B5" s="367" t="s">
        <v>1108</v>
      </c>
      <c r="C5" s="369">
        <f>'Presupuesto D. por Cuenta'!D16</f>
        <v>201090085</v>
      </c>
      <c r="D5" s="390" t="s">
        <v>1108</v>
      </c>
      <c r="E5" s="377">
        <f>C5/C11</f>
        <v>0.70043001104020597</v>
      </c>
      <c r="I5" s="383" t="s">
        <v>1109</v>
      </c>
      <c r="J5" s="384">
        <f>C10/C11</f>
        <v>7.1927363937313235E-3</v>
      </c>
      <c r="K5" s="383"/>
    </row>
    <row r="6" spans="1:11" ht="15" thickBot="1">
      <c r="B6" s="367" t="s">
        <v>1110</v>
      </c>
      <c r="C6" s="369">
        <f>'Presupuesto D. por Cuenta'!D59</f>
        <v>71515077</v>
      </c>
      <c r="D6" s="390" t="s">
        <v>1110</v>
      </c>
      <c r="E6" s="377">
        <f>C6/C11</f>
        <v>0.24909883633820723</v>
      </c>
      <c r="I6" s="383" t="s">
        <v>1111</v>
      </c>
      <c r="J6" s="385">
        <f>C8/C11</f>
        <v>0</v>
      </c>
      <c r="K6" s="383"/>
    </row>
    <row r="7" spans="1:11" ht="15" thickBot="1">
      <c r="B7" s="367" t="s">
        <v>1112</v>
      </c>
      <c r="C7" s="369">
        <f>'Presupuesto D. por Cuenta'!D92</f>
        <v>12425025</v>
      </c>
      <c r="D7" s="390" t="s">
        <v>1112</v>
      </c>
      <c r="E7" s="377">
        <f>C7/C11</f>
        <v>4.3278416227855471E-2</v>
      </c>
      <c r="I7" s="383" t="s">
        <v>1112</v>
      </c>
      <c r="J7" s="384">
        <f>C7/C11</f>
        <v>4.3278416227855471E-2</v>
      </c>
      <c r="K7" s="383"/>
    </row>
    <row r="8" spans="1:11" ht="15" thickBot="1">
      <c r="B8" s="367" t="s">
        <v>1111</v>
      </c>
      <c r="C8" s="369">
        <f>'Presupuesto D. por Cuenta'!D95</f>
        <v>0</v>
      </c>
      <c r="D8" s="390" t="s">
        <v>1111</v>
      </c>
      <c r="E8" s="377">
        <f>C8/C11</f>
        <v>0</v>
      </c>
      <c r="I8" s="383" t="s">
        <v>1110</v>
      </c>
      <c r="J8" s="384">
        <f>C6/C11</f>
        <v>0.24909883633820723</v>
      </c>
      <c r="K8" s="383"/>
    </row>
    <row r="9" spans="1:11" ht="15" thickBot="1">
      <c r="B9" s="386" t="s">
        <v>1113</v>
      </c>
      <c r="C9" s="373">
        <f>SUM(C5:C8)</f>
        <v>285030187</v>
      </c>
      <c r="D9" s="390" t="s">
        <v>1109</v>
      </c>
      <c r="E9" s="377">
        <f>C10/C11</f>
        <v>7.1927363937313235E-3</v>
      </c>
      <c r="I9" s="383" t="s">
        <v>1108</v>
      </c>
      <c r="J9" s="384">
        <f>C5/C11</f>
        <v>0.70043001104020597</v>
      </c>
      <c r="K9" s="383"/>
    </row>
    <row r="10" spans="1:11" ht="15" thickBot="1">
      <c r="B10" s="387" t="s">
        <v>1109</v>
      </c>
      <c r="C10" s="369">
        <f>'Presupuesto D. por Cuenta'!D102</f>
        <v>2065000</v>
      </c>
      <c r="D10" s="376"/>
      <c r="E10" s="376"/>
      <c r="I10" s="383"/>
      <c r="J10" s="388">
        <f>SUM(J5:J9)</f>
        <v>1</v>
      </c>
      <c r="K10" s="383"/>
    </row>
    <row r="11" spans="1:11" ht="15" thickBot="1">
      <c r="B11" s="389" t="s">
        <v>1114</v>
      </c>
      <c r="C11" s="373">
        <f>C10+C9</f>
        <v>287095187</v>
      </c>
      <c r="I11" s="383"/>
      <c r="J11" s="383"/>
      <c r="K11" s="383"/>
    </row>
    <row r="12" spans="1:11" ht="15">
      <c r="B12" s="943" t="s">
        <v>1104</v>
      </c>
      <c r="C12" s="943"/>
      <c r="I12" s="383"/>
      <c r="J12" s="383"/>
      <c r="K12" s="383"/>
    </row>
    <row r="17" spans="3:9" ht="15">
      <c r="C17" s="745" t="s">
        <v>1115</v>
      </c>
      <c r="D17" s="745"/>
      <c r="E17" s="745"/>
      <c r="F17" s="745"/>
      <c r="G17" s="745"/>
      <c r="H17" s="745"/>
      <c r="I17" s="745"/>
    </row>
  </sheetData>
  <mergeCells count="3">
    <mergeCell ref="B2:C2"/>
    <mergeCell ref="B12:C12"/>
    <mergeCell ref="C17:I17"/>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1228-9F20-4807-9965-8B276A5641DE}">
  <dimension ref="B2:K13"/>
  <sheetViews>
    <sheetView showGridLines="0" workbookViewId="0">
      <selection activeCell="B3" sqref="B3:D7"/>
    </sheetView>
  </sheetViews>
  <sheetFormatPr defaultColWidth="11.42578125" defaultRowHeight="14.25"/>
  <cols>
    <col min="1" max="1" width="11.42578125" style="27"/>
    <col min="2" max="2" width="11.7109375" style="27" bestFit="1" customWidth="1"/>
    <col min="3" max="3" width="41.28515625" style="27" customWidth="1"/>
    <col min="4" max="4" width="14.85546875" style="27" bestFit="1" customWidth="1"/>
    <col min="5" max="7" width="11.42578125" style="27"/>
    <col min="8" max="8" width="18.28515625" style="27" customWidth="1"/>
    <col min="9" max="9" width="11.5703125" style="27" bestFit="1" customWidth="1"/>
    <col min="10" max="16384" width="11.42578125" style="27"/>
  </cols>
  <sheetData>
    <row r="2" spans="2:11" ht="15.75" thickBot="1">
      <c r="B2" s="941" t="s">
        <v>1094</v>
      </c>
      <c r="C2" s="942"/>
      <c r="D2" s="942"/>
    </row>
    <row r="3" spans="2:11" ht="15" thickBot="1">
      <c r="B3" s="365" t="s">
        <v>1095</v>
      </c>
      <c r="C3" s="365" t="s">
        <v>1096</v>
      </c>
      <c r="D3" s="366" t="s">
        <v>1097</v>
      </c>
    </row>
    <row r="4" spans="2:11" ht="24.75" thickBot="1">
      <c r="B4" s="374" t="s">
        <v>1101</v>
      </c>
      <c r="C4" s="368" t="s">
        <v>1098</v>
      </c>
      <c r="D4" s="375">
        <v>166120412</v>
      </c>
      <c r="H4" s="370" t="s">
        <v>1098</v>
      </c>
      <c r="I4" s="371">
        <f>D4/D7</f>
        <v>0.57862485866055291</v>
      </c>
      <c r="J4" s="370" t="s">
        <v>1098</v>
      </c>
      <c r="K4" s="377">
        <f>D4/D7</f>
        <v>0.57862485866055291</v>
      </c>
    </row>
    <row r="5" spans="2:11" ht="24.75" thickBot="1">
      <c r="B5" s="374" t="s">
        <v>1102</v>
      </c>
      <c r="C5" s="368" t="s">
        <v>1099</v>
      </c>
      <c r="D5" s="375">
        <v>73732781</v>
      </c>
      <c r="H5" s="370" t="s">
        <v>1099</v>
      </c>
      <c r="I5" s="371">
        <f>D5/D7</f>
        <v>0.25682346600955036</v>
      </c>
      <c r="J5" s="370" t="s">
        <v>1099</v>
      </c>
      <c r="K5" s="377">
        <f>D5/D7</f>
        <v>0.25682346600955036</v>
      </c>
    </row>
    <row r="6" spans="2:11" ht="15" thickBot="1">
      <c r="B6" s="374" t="s">
        <v>947</v>
      </c>
      <c r="C6" s="372" t="s">
        <v>946</v>
      </c>
      <c r="D6" s="375">
        <v>47241994</v>
      </c>
      <c r="H6" s="370" t="s">
        <v>946</v>
      </c>
      <c r="I6" s="371">
        <f>D6/D7</f>
        <v>0.16455167532989676</v>
      </c>
      <c r="J6" s="370" t="s">
        <v>1103</v>
      </c>
      <c r="K6" s="377">
        <f>D6/D7</f>
        <v>0.16455167532989676</v>
      </c>
    </row>
    <row r="7" spans="2:11" ht="15" thickBot="1">
      <c r="B7" s="944" t="s">
        <v>13</v>
      </c>
      <c r="C7" s="945"/>
      <c r="D7" s="373">
        <f>SUM(D4:D6)</f>
        <v>287095187</v>
      </c>
      <c r="H7" s="370"/>
      <c r="I7" s="371">
        <f>SUM(I4:I6)</f>
        <v>1</v>
      </c>
      <c r="J7" s="370"/>
      <c r="K7" s="376"/>
    </row>
    <row r="8" spans="2:11" ht="15">
      <c r="B8" s="943" t="s">
        <v>1104</v>
      </c>
      <c r="C8" s="943"/>
      <c r="D8" s="943"/>
      <c r="H8" s="370"/>
      <c r="I8" s="370"/>
      <c r="J8" s="370"/>
    </row>
    <row r="9" spans="2:11">
      <c r="H9" s="370"/>
      <c r="I9" s="370"/>
      <c r="J9" s="370"/>
    </row>
    <row r="13" spans="2:11" ht="15">
      <c r="C13" s="239" t="s">
        <v>1100</v>
      </c>
    </row>
  </sheetData>
  <mergeCells count="3">
    <mergeCell ref="B2:D2"/>
    <mergeCell ref="B7:C7"/>
    <mergeCell ref="B8:D8"/>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26BC-5F0C-4C32-9CEA-7C3DFE50C751}">
  <dimension ref="A3:D103"/>
  <sheetViews>
    <sheetView showGridLines="0" topLeftCell="A35" workbookViewId="0">
      <selection activeCell="D22" sqref="D22"/>
    </sheetView>
  </sheetViews>
  <sheetFormatPr defaultRowHeight="14.25"/>
  <cols>
    <col min="1" max="1" width="11.7109375" style="27" customWidth="1"/>
    <col min="2" max="2" width="49.42578125" style="27" customWidth="1"/>
    <col min="3" max="3" width="20.140625" style="27" customWidth="1"/>
    <col min="4" max="4" width="24.85546875" style="27" customWidth="1"/>
    <col min="5" max="16384" width="9.140625" style="27"/>
  </cols>
  <sheetData>
    <row r="3" spans="1:4" ht="15">
      <c r="A3" s="946" t="s">
        <v>1117</v>
      </c>
      <c r="B3" s="946"/>
      <c r="C3" s="946"/>
      <c r="D3" s="946"/>
    </row>
    <row r="4" spans="1:4" ht="30">
      <c r="A4" s="28" t="s">
        <v>184</v>
      </c>
      <c r="B4" s="28" t="s">
        <v>1091</v>
      </c>
      <c r="C4" s="29" t="s">
        <v>1093</v>
      </c>
      <c r="D4" s="29" t="s">
        <v>1092</v>
      </c>
    </row>
    <row r="5" spans="1:4">
      <c r="A5" s="97" t="s">
        <v>6</v>
      </c>
      <c r="B5" s="318" t="s">
        <v>7</v>
      </c>
      <c r="C5" s="356">
        <v>137895960</v>
      </c>
      <c r="D5" s="356">
        <v>137895960</v>
      </c>
    </row>
    <row r="6" spans="1:4">
      <c r="A6" s="97" t="s">
        <v>948</v>
      </c>
      <c r="B6" s="318" t="s">
        <v>949</v>
      </c>
      <c r="C6" s="356">
        <v>240000</v>
      </c>
      <c r="D6" s="356">
        <v>240000</v>
      </c>
    </row>
    <row r="7" spans="1:4">
      <c r="A7" s="97" t="s">
        <v>950</v>
      </c>
      <c r="B7" s="318" t="s">
        <v>951</v>
      </c>
      <c r="C7" s="356">
        <v>6216358</v>
      </c>
      <c r="D7" s="356">
        <v>6216358</v>
      </c>
    </row>
    <row r="8" spans="1:4">
      <c r="A8" s="97" t="s">
        <v>952</v>
      </c>
      <c r="B8" s="360" t="s">
        <v>953</v>
      </c>
      <c r="C8" s="356">
        <v>4002000</v>
      </c>
      <c r="D8" s="356">
        <v>4002000</v>
      </c>
    </row>
    <row r="9" spans="1:4">
      <c r="A9" s="97" t="s">
        <v>10</v>
      </c>
      <c r="B9" s="318" t="s">
        <v>11</v>
      </c>
      <c r="C9" s="356">
        <v>12818920</v>
      </c>
      <c r="D9" s="356">
        <v>12818920</v>
      </c>
    </row>
    <row r="10" spans="1:4">
      <c r="A10" s="97" t="s">
        <v>954</v>
      </c>
      <c r="B10" s="318" t="s">
        <v>955</v>
      </c>
      <c r="C10" s="356">
        <v>5000000</v>
      </c>
      <c r="D10" s="356">
        <v>5000000</v>
      </c>
    </row>
    <row r="11" spans="1:4">
      <c r="A11" s="97" t="s">
        <v>956</v>
      </c>
      <c r="B11" s="318" t="s">
        <v>957</v>
      </c>
      <c r="C11" s="356">
        <v>800000</v>
      </c>
      <c r="D11" s="356">
        <v>800000</v>
      </c>
    </row>
    <row r="12" spans="1:4">
      <c r="A12" s="97" t="s">
        <v>8</v>
      </c>
      <c r="B12" s="318" t="s">
        <v>797</v>
      </c>
      <c r="C12" s="356">
        <v>12000000</v>
      </c>
      <c r="D12" s="356">
        <v>12000000</v>
      </c>
    </row>
    <row r="13" spans="1:4">
      <c r="A13" s="97" t="s">
        <v>958</v>
      </c>
      <c r="B13" s="360" t="s">
        <v>959</v>
      </c>
      <c r="C13" s="356">
        <v>10123140</v>
      </c>
      <c r="D13" s="356">
        <v>10123140</v>
      </c>
    </row>
    <row r="14" spans="1:4">
      <c r="A14" s="97" t="s">
        <v>960</v>
      </c>
      <c r="B14" s="360" t="s">
        <v>961</v>
      </c>
      <c r="C14" s="356">
        <v>10436257</v>
      </c>
      <c r="D14" s="356">
        <v>10436257</v>
      </c>
    </row>
    <row r="15" spans="1:4">
      <c r="A15" s="97" t="s">
        <v>962</v>
      </c>
      <c r="B15" s="360" t="s">
        <v>963</v>
      </c>
      <c r="C15" s="356">
        <v>1557450</v>
      </c>
      <c r="D15" s="356">
        <v>1557450</v>
      </c>
    </row>
    <row r="16" spans="1:4" ht="15">
      <c r="A16" s="359"/>
      <c r="B16" s="150" t="s">
        <v>964</v>
      </c>
      <c r="C16" s="362">
        <f>SUM(C5:C15)</f>
        <v>201090085</v>
      </c>
      <c r="D16" s="362">
        <f>SUM(D5:D15)</f>
        <v>201090085</v>
      </c>
    </row>
    <row r="17" spans="1:4">
      <c r="A17" s="97" t="s">
        <v>965</v>
      </c>
      <c r="B17" s="318" t="s">
        <v>966</v>
      </c>
      <c r="C17" s="356">
        <v>4900000</v>
      </c>
      <c r="D17" s="356">
        <v>4900000</v>
      </c>
    </row>
    <row r="18" spans="1:4">
      <c r="A18" s="97" t="s">
        <v>967</v>
      </c>
      <c r="B18" s="318" t="s">
        <v>968</v>
      </c>
      <c r="C18" s="356">
        <v>2200000</v>
      </c>
      <c r="D18" s="356">
        <v>2200000</v>
      </c>
    </row>
    <row r="19" spans="1:4">
      <c r="A19" s="97" t="s">
        <v>207</v>
      </c>
      <c r="B19" s="318" t="s">
        <v>969</v>
      </c>
      <c r="C19" s="356">
        <v>8770000</v>
      </c>
      <c r="D19" s="356">
        <v>8770000</v>
      </c>
    </row>
    <row r="20" spans="1:4">
      <c r="A20" s="97" t="s">
        <v>970</v>
      </c>
      <c r="B20" s="318" t="s">
        <v>971</v>
      </c>
      <c r="C20" s="356">
        <v>6362750</v>
      </c>
      <c r="D20" s="356">
        <v>6362750</v>
      </c>
    </row>
    <row r="21" spans="1:4">
      <c r="A21" s="97" t="s">
        <v>972</v>
      </c>
      <c r="B21" s="318" t="s">
        <v>973</v>
      </c>
      <c r="C21" s="356">
        <v>100000</v>
      </c>
      <c r="D21" s="356">
        <v>100000</v>
      </c>
    </row>
    <row r="22" spans="1:4">
      <c r="A22" s="97" t="s">
        <v>974</v>
      </c>
      <c r="B22" s="318" t="s">
        <v>975</v>
      </c>
      <c r="C22" s="356">
        <v>50000</v>
      </c>
      <c r="D22" s="356">
        <v>50000</v>
      </c>
    </row>
    <row r="23" spans="1:4">
      <c r="A23" s="97" t="s">
        <v>426</v>
      </c>
      <c r="B23" s="318" t="s">
        <v>976</v>
      </c>
      <c r="C23" s="356">
        <v>200000</v>
      </c>
      <c r="D23" s="356">
        <v>200000</v>
      </c>
    </row>
    <row r="24" spans="1:4">
      <c r="A24" s="97" t="s">
        <v>201</v>
      </c>
      <c r="B24" s="318" t="s">
        <v>977</v>
      </c>
      <c r="C24" s="356">
        <v>500000</v>
      </c>
      <c r="D24" s="356">
        <v>500000</v>
      </c>
    </row>
    <row r="25" spans="1:4">
      <c r="A25" s="97" t="s">
        <v>188</v>
      </c>
      <c r="B25" s="318" t="s">
        <v>978</v>
      </c>
      <c r="C25" s="356">
        <v>4000000</v>
      </c>
      <c r="D25" s="356">
        <v>4000000</v>
      </c>
    </row>
    <row r="26" spans="1:4">
      <c r="A26" s="97" t="s">
        <v>979</v>
      </c>
      <c r="B26" s="318" t="s">
        <v>980</v>
      </c>
      <c r="C26" s="356">
        <v>200000</v>
      </c>
      <c r="D26" s="356">
        <v>200000</v>
      </c>
    </row>
    <row r="27" spans="1:4">
      <c r="A27" s="97" t="s">
        <v>596</v>
      </c>
      <c r="B27" s="318" t="s">
        <v>981</v>
      </c>
      <c r="C27" s="356">
        <v>2670000</v>
      </c>
      <c r="D27" s="356">
        <v>2670000</v>
      </c>
    </row>
    <row r="28" spans="1:4">
      <c r="A28" s="97" t="s">
        <v>982</v>
      </c>
      <c r="B28" s="318" t="s">
        <v>983</v>
      </c>
      <c r="C28" s="356">
        <v>30000</v>
      </c>
      <c r="D28" s="356">
        <v>30000</v>
      </c>
    </row>
    <row r="29" spans="1:4">
      <c r="A29" s="97" t="s">
        <v>984</v>
      </c>
      <c r="B29" s="318" t="s">
        <v>985</v>
      </c>
      <c r="C29" s="356">
        <v>10000</v>
      </c>
      <c r="D29" s="356">
        <v>10000</v>
      </c>
    </row>
    <row r="30" spans="1:4">
      <c r="A30" s="97" t="s">
        <v>986</v>
      </c>
      <c r="B30" s="318" t="s">
        <v>987</v>
      </c>
      <c r="C30" s="356">
        <v>10000</v>
      </c>
      <c r="D30" s="356">
        <v>10000</v>
      </c>
    </row>
    <row r="31" spans="1:4">
      <c r="A31" s="97" t="s">
        <v>988</v>
      </c>
      <c r="B31" s="318" t="s">
        <v>989</v>
      </c>
      <c r="C31" s="356">
        <v>18397352</v>
      </c>
      <c r="D31" s="356">
        <v>18397352</v>
      </c>
    </row>
    <row r="32" spans="1:4">
      <c r="A32" s="97" t="s">
        <v>990</v>
      </c>
      <c r="B32" s="360" t="s">
        <v>991</v>
      </c>
      <c r="C32" s="356">
        <v>200000</v>
      </c>
      <c r="D32" s="356">
        <v>100000</v>
      </c>
    </row>
    <row r="33" spans="1:4">
      <c r="A33" s="97" t="s">
        <v>600</v>
      </c>
      <c r="B33" s="360" t="s">
        <v>992</v>
      </c>
      <c r="C33" s="356">
        <v>200000</v>
      </c>
      <c r="D33" s="356">
        <v>50000</v>
      </c>
    </row>
    <row r="34" spans="1:4">
      <c r="A34" s="97" t="s">
        <v>205</v>
      </c>
      <c r="B34" s="318" t="s">
        <v>993</v>
      </c>
      <c r="C34" s="356">
        <v>500000</v>
      </c>
      <c r="D34" s="356">
        <v>500000</v>
      </c>
    </row>
    <row r="35" spans="1:4">
      <c r="A35" s="97" t="s">
        <v>593</v>
      </c>
      <c r="B35" s="318" t="s">
        <v>994</v>
      </c>
      <c r="C35" s="356">
        <v>600000</v>
      </c>
      <c r="D35" s="356">
        <v>1533175</v>
      </c>
    </row>
    <row r="36" spans="1:4">
      <c r="A36" s="97" t="s">
        <v>995</v>
      </c>
      <c r="B36" s="318" t="s">
        <v>996</v>
      </c>
      <c r="C36" s="356">
        <v>200000</v>
      </c>
      <c r="D36" s="356">
        <v>200000</v>
      </c>
    </row>
    <row r="37" spans="1:4">
      <c r="A37" s="97" t="s">
        <v>997</v>
      </c>
      <c r="B37" s="318" t="s">
        <v>998</v>
      </c>
      <c r="C37" s="356">
        <v>800000</v>
      </c>
      <c r="D37" s="356">
        <v>800000</v>
      </c>
    </row>
    <row r="38" spans="1:4">
      <c r="A38" s="97" t="s">
        <v>219</v>
      </c>
      <c r="B38" s="318" t="s">
        <v>999</v>
      </c>
      <c r="C38" s="356">
        <v>12300000</v>
      </c>
      <c r="D38" s="356">
        <v>12398400</v>
      </c>
    </row>
    <row r="39" spans="1:4">
      <c r="A39" s="97" t="s">
        <v>1000</v>
      </c>
      <c r="B39" s="318" t="s">
        <v>1001</v>
      </c>
      <c r="C39" s="356">
        <v>400000</v>
      </c>
      <c r="D39" s="356">
        <v>400000</v>
      </c>
    </row>
    <row r="40" spans="1:4" ht="28.5">
      <c r="A40" s="97" t="s">
        <v>450</v>
      </c>
      <c r="B40" s="360" t="s">
        <v>1002</v>
      </c>
      <c r="C40" s="356">
        <v>500000</v>
      </c>
      <c r="D40" s="356">
        <v>500000</v>
      </c>
    </row>
    <row r="41" spans="1:4" ht="28.5">
      <c r="A41" s="97" t="s">
        <v>355</v>
      </c>
      <c r="B41" s="360" t="s">
        <v>1003</v>
      </c>
      <c r="C41" s="356">
        <v>300000</v>
      </c>
      <c r="D41" s="356">
        <v>286000</v>
      </c>
    </row>
    <row r="42" spans="1:4" ht="28.5">
      <c r="A42" s="97" t="s">
        <v>1004</v>
      </c>
      <c r="B42" s="360" t="s">
        <v>1005</v>
      </c>
      <c r="C42" s="356">
        <v>100000</v>
      </c>
      <c r="D42" s="356">
        <v>100000</v>
      </c>
    </row>
    <row r="43" spans="1:4" ht="28.5">
      <c r="A43" s="97" t="s">
        <v>456</v>
      </c>
      <c r="B43" s="360" t="s">
        <v>1006</v>
      </c>
      <c r="C43" s="356">
        <v>2500000</v>
      </c>
      <c r="D43" s="356">
        <v>870400</v>
      </c>
    </row>
    <row r="44" spans="1:4">
      <c r="A44" s="97" t="s">
        <v>1007</v>
      </c>
      <c r="B44" s="318" t="s">
        <v>1008</v>
      </c>
      <c r="C44" s="356">
        <v>200000</v>
      </c>
      <c r="D44" s="356">
        <v>200000</v>
      </c>
    </row>
    <row r="45" spans="1:4">
      <c r="A45" s="97" t="s">
        <v>441</v>
      </c>
      <c r="B45" s="318" t="s">
        <v>1009</v>
      </c>
      <c r="C45" s="356">
        <v>100000</v>
      </c>
      <c r="D45" s="356">
        <v>250000</v>
      </c>
    </row>
    <row r="46" spans="1:4">
      <c r="A46" s="97" t="s">
        <v>431</v>
      </c>
      <c r="B46" s="318" t="s">
        <v>1010</v>
      </c>
      <c r="C46" s="356">
        <v>250000</v>
      </c>
      <c r="D46" s="356">
        <v>250000</v>
      </c>
    </row>
    <row r="47" spans="1:4">
      <c r="A47" s="97" t="s">
        <v>1011</v>
      </c>
      <c r="B47" s="318" t="s">
        <v>1012</v>
      </c>
      <c r="C47" s="356">
        <v>300000</v>
      </c>
      <c r="D47" s="356">
        <v>300000</v>
      </c>
    </row>
    <row r="48" spans="1:4">
      <c r="A48" s="97" t="s">
        <v>942</v>
      </c>
      <c r="B48" s="318" t="s">
        <v>1013</v>
      </c>
      <c r="C48" s="356">
        <v>100000</v>
      </c>
      <c r="D48" s="356">
        <v>47000</v>
      </c>
    </row>
    <row r="49" spans="1:4">
      <c r="A49" s="97" t="s">
        <v>1014</v>
      </c>
      <c r="B49" s="318" t="s">
        <v>1015</v>
      </c>
      <c r="C49" s="356">
        <v>500000</v>
      </c>
      <c r="D49" s="356">
        <v>500000</v>
      </c>
    </row>
    <row r="50" spans="1:4">
      <c r="A50" s="97" t="s">
        <v>1016</v>
      </c>
      <c r="B50" s="318" t="s">
        <v>1017</v>
      </c>
      <c r="C50" s="356">
        <v>100000</v>
      </c>
      <c r="D50" s="356">
        <v>0</v>
      </c>
    </row>
    <row r="51" spans="1:4">
      <c r="A51" s="97" t="s">
        <v>792</v>
      </c>
      <c r="B51" s="318" t="s">
        <v>1018</v>
      </c>
      <c r="C51" s="356">
        <v>400000</v>
      </c>
      <c r="D51" s="356">
        <v>400000</v>
      </c>
    </row>
    <row r="52" spans="1:4">
      <c r="A52" s="97" t="s">
        <v>198</v>
      </c>
      <c r="B52" s="360" t="s">
        <v>1019</v>
      </c>
      <c r="C52" s="356">
        <v>500000</v>
      </c>
      <c r="D52" s="356">
        <v>500000</v>
      </c>
    </row>
    <row r="53" spans="1:4">
      <c r="A53" s="97" t="s">
        <v>1020</v>
      </c>
      <c r="B53" s="318" t="s">
        <v>1021</v>
      </c>
      <c r="C53" s="363">
        <v>300000</v>
      </c>
      <c r="D53" s="363">
        <v>100000</v>
      </c>
    </row>
    <row r="54" spans="1:4">
      <c r="A54" s="97" t="s">
        <v>1022</v>
      </c>
      <c r="B54" s="318" t="s">
        <v>1023</v>
      </c>
      <c r="C54" s="363">
        <v>25000</v>
      </c>
      <c r="D54" s="363">
        <v>25000</v>
      </c>
    </row>
    <row r="55" spans="1:4">
      <c r="A55" s="97" t="s">
        <v>1024</v>
      </c>
      <c r="B55" s="318" t="s">
        <v>1025</v>
      </c>
      <c r="C55" s="363">
        <v>25000</v>
      </c>
      <c r="D55" s="363">
        <v>25000</v>
      </c>
    </row>
    <row r="56" spans="1:4">
      <c r="A56" s="97" t="s">
        <v>471</v>
      </c>
      <c r="B56" s="318" t="s">
        <v>1026</v>
      </c>
      <c r="C56" s="363">
        <v>0</v>
      </c>
      <c r="D56" s="363">
        <v>500000</v>
      </c>
    </row>
    <row r="57" spans="1:4">
      <c r="A57" s="97" t="s">
        <v>146</v>
      </c>
      <c r="B57" s="318" t="s">
        <v>1027</v>
      </c>
      <c r="C57" s="363">
        <v>2200000</v>
      </c>
      <c r="D57" s="363">
        <v>2200000</v>
      </c>
    </row>
    <row r="58" spans="1:4">
      <c r="A58" s="97" t="s">
        <v>433</v>
      </c>
      <c r="B58" s="318"/>
      <c r="C58" s="363">
        <v>0</v>
      </c>
      <c r="D58" s="363">
        <v>80000</v>
      </c>
    </row>
    <row r="59" spans="1:4" ht="15">
      <c r="A59" s="359"/>
      <c r="B59" s="150" t="s">
        <v>964</v>
      </c>
      <c r="C59" s="362">
        <f>SUM(C17:C58)</f>
        <v>72000102</v>
      </c>
      <c r="D59" s="362">
        <f>SUM(D17:D58)</f>
        <v>71515077</v>
      </c>
    </row>
    <row r="60" spans="1:4">
      <c r="A60" s="97" t="s">
        <v>482</v>
      </c>
      <c r="B60" s="318" t="s">
        <v>1028</v>
      </c>
      <c r="C60" s="363">
        <v>300000</v>
      </c>
      <c r="D60" s="363">
        <v>180000</v>
      </c>
    </row>
    <row r="61" spans="1:4">
      <c r="A61" s="97" t="s">
        <v>644</v>
      </c>
      <c r="B61" s="318" t="s">
        <v>1029</v>
      </c>
      <c r="C61" s="363">
        <v>300000</v>
      </c>
      <c r="D61" s="363">
        <v>205000</v>
      </c>
    </row>
    <row r="62" spans="1:4">
      <c r="A62" s="97" t="s">
        <v>484</v>
      </c>
      <c r="B62" s="318" t="s">
        <v>1030</v>
      </c>
      <c r="C62" s="363">
        <v>300000</v>
      </c>
      <c r="D62" s="363">
        <v>208000</v>
      </c>
    </row>
    <row r="63" spans="1:4">
      <c r="A63" s="97" t="s">
        <v>1031</v>
      </c>
      <c r="B63" s="318" t="s">
        <v>1032</v>
      </c>
      <c r="C63" s="363">
        <v>100000</v>
      </c>
      <c r="D63" s="363">
        <v>100000</v>
      </c>
    </row>
    <row r="64" spans="1:4">
      <c r="A64" s="97" t="s">
        <v>1033</v>
      </c>
      <c r="B64" s="318" t="s">
        <v>1034</v>
      </c>
      <c r="C64" s="363">
        <v>200000</v>
      </c>
      <c r="D64" s="363">
        <v>200000</v>
      </c>
    </row>
    <row r="65" spans="1:4">
      <c r="A65" s="97" t="s">
        <v>604</v>
      </c>
      <c r="B65" s="318" t="s">
        <v>1035</v>
      </c>
      <c r="C65" s="363">
        <v>325000</v>
      </c>
      <c r="D65" s="363">
        <v>325000</v>
      </c>
    </row>
    <row r="66" spans="1:4">
      <c r="A66" s="97" t="s">
        <v>1036</v>
      </c>
      <c r="B66" s="318" t="s">
        <v>1037</v>
      </c>
      <c r="C66" s="363">
        <v>50000</v>
      </c>
      <c r="D66" s="363">
        <v>50000</v>
      </c>
    </row>
    <row r="67" spans="1:4">
      <c r="A67" s="97" t="s">
        <v>1038</v>
      </c>
      <c r="B67" s="318" t="s">
        <v>1039</v>
      </c>
      <c r="C67" s="363">
        <v>50000</v>
      </c>
      <c r="D67" s="363">
        <v>50000</v>
      </c>
    </row>
    <row r="68" spans="1:4">
      <c r="A68" s="97" t="s">
        <v>1040</v>
      </c>
      <c r="B68" s="318" t="s">
        <v>1041</v>
      </c>
      <c r="C68" s="363">
        <v>50000</v>
      </c>
      <c r="D68" s="363">
        <v>50000</v>
      </c>
    </row>
    <row r="69" spans="1:4">
      <c r="A69" s="97" t="s">
        <v>1042</v>
      </c>
      <c r="B69" s="318" t="s">
        <v>1043</v>
      </c>
      <c r="C69" s="363">
        <v>50000</v>
      </c>
      <c r="D69" s="363">
        <v>50000</v>
      </c>
    </row>
    <row r="70" spans="1:4">
      <c r="A70" s="97" t="s">
        <v>1044</v>
      </c>
      <c r="B70" s="318" t="s">
        <v>1045</v>
      </c>
      <c r="C70" s="363">
        <v>100000</v>
      </c>
      <c r="D70" s="363">
        <v>50000</v>
      </c>
    </row>
    <row r="71" spans="1:4">
      <c r="A71" s="97" t="s">
        <v>1046</v>
      </c>
      <c r="B71" s="318" t="s">
        <v>1047</v>
      </c>
      <c r="C71" s="363">
        <v>100000</v>
      </c>
      <c r="D71" s="363">
        <v>50000</v>
      </c>
    </row>
    <row r="72" spans="1:4">
      <c r="A72" s="97" t="s">
        <v>1048</v>
      </c>
      <c r="B72" s="318" t="s">
        <v>1049</v>
      </c>
      <c r="C72" s="363">
        <v>300000</v>
      </c>
      <c r="D72" s="363">
        <v>200000</v>
      </c>
    </row>
    <row r="73" spans="1:4">
      <c r="A73" s="97" t="s">
        <v>1050</v>
      </c>
      <c r="B73" s="318" t="s">
        <v>1051</v>
      </c>
      <c r="C73" s="363">
        <v>100000</v>
      </c>
      <c r="D73" s="363">
        <v>50000</v>
      </c>
    </row>
    <row r="74" spans="1:4">
      <c r="A74" s="97" t="s">
        <v>1052</v>
      </c>
      <c r="B74" s="318" t="s">
        <v>1053</v>
      </c>
      <c r="C74" s="363">
        <v>100000</v>
      </c>
      <c r="D74" s="363">
        <v>50000</v>
      </c>
    </row>
    <row r="75" spans="1:4">
      <c r="A75" s="97" t="s">
        <v>1054</v>
      </c>
      <c r="B75" s="318" t="s">
        <v>1055</v>
      </c>
      <c r="C75" s="363">
        <v>50000</v>
      </c>
      <c r="D75" s="363">
        <v>25000</v>
      </c>
    </row>
    <row r="76" spans="1:4">
      <c r="A76" s="97" t="s">
        <v>1056</v>
      </c>
      <c r="B76" s="318" t="s">
        <v>1057</v>
      </c>
      <c r="C76" s="363">
        <v>10000</v>
      </c>
      <c r="D76" s="363">
        <v>5000</v>
      </c>
    </row>
    <row r="77" spans="1:4">
      <c r="A77" s="97" t="s">
        <v>1058</v>
      </c>
      <c r="B77" s="318" t="s">
        <v>1059</v>
      </c>
      <c r="C77" s="363">
        <v>30000</v>
      </c>
      <c r="D77" s="363">
        <v>5000</v>
      </c>
    </row>
    <row r="78" spans="1:4">
      <c r="A78" s="97" t="s">
        <v>1060</v>
      </c>
      <c r="B78" s="318" t="s">
        <v>1061</v>
      </c>
      <c r="C78" s="363">
        <v>30000</v>
      </c>
      <c r="D78" s="363">
        <v>5000</v>
      </c>
    </row>
    <row r="79" spans="1:4">
      <c r="A79" s="97" t="s">
        <v>437</v>
      </c>
      <c r="B79" s="318" t="s">
        <v>1062</v>
      </c>
      <c r="C79" s="363">
        <v>50000</v>
      </c>
      <c r="D79" s="363">
        <v>5000</v>
      </c>
    </row>
    <row r="80" spans="1:4">
      <c r="A80" s="97" t="s">
        <v>1063</v>
      </c>
      <c r="B80" s="318" t="s">
        <v>1064</v>
      </c>
      <c r="C80" s="363">
        <v>50000</v>
      </c>
      <c r="D80" s="363">
        <v>10000</v>
      </c>
    </row>
    <row r="81" spans="1:4">
      <c r="A81" s="97" t="s">
        <v>881</v>
      </c>
      <c r="B81" s="318" t="s">
        <v>1065</v>
      </c>
      <c r="C81" s="363">
        <v>30000</v>
      </c>
      <c r="D81" s="363">
        <v>15000</v>
      </c>
    </row>
    <row r="82" spans="1:4">
      <c r="A82" s="97" t="s">
        <v>1066</v>
      </c>
      <c r="B82" s="318" t="s">
        <v>1067</v>
      </c>
      <c r="C82" s="363">
        <v>70000</v>
      </c>
      <c r="D82" s="363">
        <v>50000</v>
      </c>
    </row>
    <row r="83" spans="1:4">
      <c r="A83" s="97" t="s">
        <v>210</v>
      </c>
      <c r="B83" s="318" t="s">
        <v>1068</v>
      </c>
      <c r="C83" s="363">
        <v>5000000</v>
      </c>
      <c r="D83" s="363">
        <v>5000000</v>
      </c>
    </row>
    <row r="84" spans="1:4">
      <c r="A84" s="97" t="s">
        <v>1069</v>
      </c>
      <c r="B84" s="318" t="s">
        <v>1070</v>
      </c>
      <c r="C84" s="363">
        <v>2350000</v>
      </c>
      <c r="D84" s="363">
        <v>2350000</v>
      </c>
    </row>
    <row r="85" spans="1:4">
      <c r="A85" s="97" t="s">
        <v>193</v>
      </c>
      <c r="B85" s="318" t="s">
        <v>1071</v>
      </c>
      <c r="C85" s="363">
        <v>500000</v>
      </c>
      <c r="D85" s="363">
        <v>400000</v>
      </c>
    </row>
    <row r="86" spans="1:4" ht="28.5">
      <c r="A86" s="97" t="s">
        <v>149</v>
      </c>
      <c r="B86" s="360" t="s">
        <v>1072</v>
      </c>
      <c r="C86" s="363">
        <v>300000</v>
      </c>
      <c r="D86" s="363">
        <v>600000</v>
      </c>
    </row>
    <row r="87" spans="1:4">
      <c r="A87" s="97" t="s">
        <v>200</v>
      </c>
      <c r="B87" s="360" t="s">
        <v>1073</v>
      </c>
      <c r="C87" s="363">
        <v>0</v>
      </c>
      <c r="D87" s="363">
        <v>57025</v>
      </c>
    </row>
    <row r="88" spans="1:4" ht="28.5">
      <c r="A88" s="97" t="s">
        <v>1074</v>
      </c>
      <c r="B88" s="360" t="s">
        <v>1075</v>
      </c>
      <c r="C88" s="363">
        <v>10000</v>
      </c>
      <c r="D88" s="363">
        <v>0</v>
      </c>
    </row>
    <row r="89" spans="1:4">
      <c r="A89" s="97" t="s">
        <v>478</v>
      </c>
      <c r="B89" s="318" t="s">
        <v>1076</v>
      </c>
      <c r="C89" s="363">
        <v>200000</v>
      </c>
      <c r="D89" s="363">
        <v>100000</v>
      </c>
    </row>
    <row r="90" spans="1:4">
      <c r="A90" s="97" t="s">
        <v>345</v>
      </c>
      <c r="B90" s="318" t="s">
        <v>1077</v>
      </c>
      <c r="C90" s="363">
        <v>200000</v>
      </c>
      <c r="D90" s="363">
        <v>509000</v>
      </c>
    </row>
    <row r="91" spans="1:4">
      <c r="A91" s="97" t="s">
        <v>443</v>
      </c>
      <c r="B91" s="318" t="s">
        <v>1078</v>
      </c>
      <c r="C91" s="363">
        <v>200000</v>
      </c>
      <c r="D91" s="363">
        <v>1471000</v>
      </c>
    </row>
    <row r="92" spans="1:4" ht="15">
      <c r="A92" s="359"/>
      <c r="B92" s="150" t="s">
        <v>964</v>
      </c>
      <c r="C92" s="362">
        <f>SUM(C60:C91)</f>
        <v>11505000</v>
      </c>
      <c r="D92" s="362">
        <f>SUM(D60:D91)</f>
        <v>12425025</v>
      </c>
    </row>
    <row r="93" spans="1:4">
      <c r="A93" s="97" t="s">
        <v>1079</v>
      </c>
      <c r="B93" s="97" t="s">
        <v>1080</v>
      </c>
      <c r="C93" s="363">
        <v>100000</v>
      </c>
      <c r="D93" s="363">
        <v>0</v>
      </c>
    </row>
    <row r="94" spans="1:4">
      <c r="A94" s="97" t="s">
        <v>1081</v>
      </c>
      <c r="B94" s="97" t="s">
        <v>1082</v>
      </c>
      <c r="C94" s="363">
        <v>100000</v>
      </c>
      <c r="D94" s="363">
        <v>0</v>
      </c>
    </row>
    <row r="95" spans="1:4" ht="15">
      <c r="A95" s="150"/>
      <c r="B95" s="150" t="s">
        <v>964</v>
      </c>
      <c r="C95" s="362">
        <f>SUM(C93:C94)</f>
        <v>200000</v>
      </c>
      <c r="D95" s="362">
        <f>SUM(D93:D94)</f>
        <v>0</v>
      </c>
    </row>
    <row r="96" spans="1:4">
      <c r="A96" s="97" t="s">
        <v>447</v>
      </c>
      <c r="B96" s="97" t="s">
        <v>1083</v>
      </c>
      <c r="C96" s="363">
        <v>700000</v>
      </c>
      <c r="D96" s="363">
        <v>750000</v>
      </c>
    </row>
    <row r="97" spans="1:4">
      <c r="A97" s="97" t="s">
        <v>223</v>
      </c>
      <c r="B97" s="97" t="s">
        <v>1084</v>
      </c>
      <c r="C97" s="363">
        <v>1000000</v>
      </c>
      <c r="D97" s="363">
        <v>935000</v>
      </c>
    </row>
    <row r="98" spans="1:4">
      <c r="A98" s="97" t="s">
        <v>463</v>
      </c>
      <c r="B98" s="97" t="s">
        <v>1085</v>
      </c>
      <c r="C98" s="363">
        <v>400000</v>
      </c>
      <c r="D98" s="363">
        <v>180000</v>
      </c>
    </row>
    <row r="99" spans="1:4">
      <c r="A99" s="97" t="s">
        <v>1086</v>
      </c>
      <c r="B99" s="97" t="s">
        <v>1087</v>
      </c>
      <c r="C99" s="363">
        <f t="shared" ref="C99:C101" si="0">D99+E99+F99</f>
        <v>100000</v>
      </c>
      <c r="D99" s="363">
        <v>100000</v>
      </c>
    </row>
    <row r="100" spans="1:4">
      <c r="A100" s="97" t="s">
        <v>486</v>
      </c>
      <c r="B100" s="97" t="s">
        <v>1088</v>
      </c>
      <c r="C100" s="363">
        <v>0</v>
      </c>
      <c r="D100" s="363">
        <v>0</v>
      </c>
    </row>
    <row r="101" spans="1:4">
      <c r="A101" s="97" t="s">
        <v>1089</v>
      </c>
      <c r="B101" s="97" t="s">
        <v>1090</v>
      </c>
      <c r="C101" s="363">
        <f t="shared" si="0"/>
        <v>100000</v>
      </c>
      <c r="D101" s="363">
        <v>100000</v>
      </c>
    </row>
    <row r="102" spans="1:4" ht="15">
      <c r="A102" s="359"/>
      <c r="B102" s="150" t="s">
        <v>964</v>
      </c>
      <c r="C102" s="362">
        <f>SUM(C96:C101)</f>
        <v>2300000</v>
      </c>
      <c r="D102" s="362">
        <f>SUM(D96:D101)</f>
        <v>2065000</v>
      </c>
    </row>
    <row r="103" spans="1:4" ht="15">
      <c r="A103" s="359"/>
      <c r="B103" s="361"/>
      <c r="C103" s="364">
        <f>C59+C16+C92+C102+C94+C93</f>
        <v>287095187</v>
      </c>
      <c r="D103" s="364">
        <v>287095187</v>
      </c>
    </row>
  </sheetData>
  <mergeCells count="1">
    <mergeCell ref="A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005C-AA92-4F88-B14A-8FAFDE72741F}">
  <dimension ref="A7:BJ37"/>
  <sheetViews>
    <sheetView showGridLines="0" tabSelected="1" workbookViewId="0">
      <selection activeCell="A14" sqref="A14:A15"/>
    </sheetView>
  </sheetViews>
  <sheetFormatPr defaultColWidth="11.42578125" defaultRowHeight="15"/>
  <cols>
    <col min="1" max="1" width="47.7109375" style="358" bestFit="1" customWidth="1"/>
    <col min="2" max="2" width="26.7109375" bestFit="1" customWidth="1"/>
    <col min="3" max="3" width="28" style="358" bestFit="1" customWidth="1"/>
    <col min="4" max="4" width="17.7109375" bestFit="1" customWidth="1"/>
    <col min="5" max="5" width="8.85546875" style="405" bestFit="1" customWidth="1"/>
    <col min="6" max="6" width="51.42578125" customWidth="1"/>
    <col min="7" max="7" width="7.140625" bestFit="1" customWidth="1"/>
    <col min="8" max="8" width="8" bestFit="1" customWidth="1"/>
    <col min="9" max="14" width="7.140625" bestFit="1" customWidth="1"/>
    <col min="15" max="15" width="11.42578125" bestFit="1" customWidth="1"/>
    <col min="16" max="16" width="8.140625" bestFit="1" customWidth="1"/>
    <col min="17" max="17" width="11" bestFit="1" customWidth="1"/>
    <col min="18" max="18" width="10.140625" bestFit="1" customWidth="1"/>
    <col min="19" max="19" width="17.85546875" bestFit="1" customWidth="1"/>
    <col min="20" max="20" width="27" customWidth="1"/>
    <col min="21" max="21" width="22.140625" customWidth="1"/>
  </cols>
  <sheetData>
    <row r="7" spans="1:20" ht="21">
      <c r="A7" s="658" t="s">
        <v>60</v>
      </c>
      <c r="B7" s="658"/>
      <c r="C7" s="658"/>
      <c r="D7" s="658"/>
      <c r="E7" s="658"/>
      <c r="F7" s="658"/>
      <c r="G7" s="658"/>
      <c r="H7" s="658"/>
      <c r="I7" s="658"/>
      <c r="J7" s="658"/>
      <c r="K7" s="658"/>
      <c r="L7" s="658"/>
      <c r="M7" s="658"/>
      <c r="N7" s="658"/>
      <c r="O7" s="658"/>
      <c r="P7" s="658"/>
      <c r="Q7" s="658"/>
      <c r="R7" s="658"/>
      <c r="S7" s="658"/>
      <c r="T7" s="658"/>
    </row>
    <row r="8" spans="1:20" ht="21">
      <c r="A8" s="658" t="s">
        <v>61</v>
      </c>
      <c r="B8" s="658"/>
      <c r="C8" s="658"/>
      <c r="D8" s="658"/>
      <c r="E8" s="658"/>
      <c r="F8" s="658"/>
      <c r="G8" s="658"/>
      <c r="H8" s="658"/>
      <c r="I8" s="658"/>
      <c r="J8" s="658"/>
      <c r="K8" s="658"/>
      <c r="L8" s="658"/>
      <c r="M8" s="658"/>
      <c r="N8" s="658"/>
      <c r="O8" s="658"/>
      <c r="P8" s="658"/>
      <c r="Q8" s="658"/>
      <c r="R8" s="658"/>
      <c r="S8" s="658"/>
      <c r="T8" s="658"/>
    </row>
    <row r="9" spans="1:20" ht="21">
      <c r="A9" s="579"/>
      <c r="B9" s="404"/>
      <c r="C9" s="579"/>
      <c r="D9" s="404"/>
      <c r="E9" s="404"/>
      <c r="F9" s="404"/>
      <c r="G9" s="404"/>
      <c r="H9" s="404"/>
      <c r="I9" s="404"/>
      <c r="J9" s="404"/>
      <c r="K9" s="404"/>
      <c r="L9" s="404"/>
      <c r="M9" s="404"/>
      <c r="N9" s="404"/>
      <c r="O9" s="404"/>
      <c r="P9" s="404"/>
      <c r="Q9" s="404"/>
      <c r="R9" s="404"/>
      <c r="S9" s="404"/>
      <c r="T9" s="404"/>
    </row>
    <row r="10" spans="1:20" ht="21">
      <c r="A10" s="541" t="s">
        <v>62</v>
      </c>
      <c r="B10" s="659" t="s">
        <v>1306</v>
      </c>
      <c r="C10" s="659"/>
      <c r="D10" s="659"/>
      <c r="E10" s="659"/>
      <c r="F10" s="659"/>
      <c r="G10" s="659"/>
      <c r="H10" s="659"/>
      <c r="I10" s="659"/>
      <c r="J10" s="659"/>
      <c r="K10" s="659"/>
      <c r="L10" s="659"/>
      <c r="M10" s="659"/>
      <c r="N10" s="659"/>
      <c r="O10" s="659"/>
      <c r="P10" s="659"/>
      <c r="Q10" s="659"/>
      <c r="R10" s="659"/>
      <c r="S10" s="659"/>
      <c r="T10" s="659"/>
    </row>
    <row r="11" spans="1:20" ht="21">
      <c r="A11" s="541" t="s">
        <v>63</v>
      </c>
      <c r="B11" s="659" t="s">
        <v>64</v>
      </c>
      <c r="C11" s="659"/>
      <c r="D11" s="659"/>
      <c r="E11" s="659"/>
      <c r="F11" s="659"/>
      <c r="G11" s="659"/>
      <c r="H11" s="659"/>
      <c r="I11" s="659"/>
      <c r="J11" s="659"/>
      <c r="K11" s="659"/>
      <c r="L11" s="659"/>
      <c r="M11" s="659"/>
      <c r="N11" s="659"/>
      <c r="O11" s="659"/>
      <c r="P11" s="659"/>
      <c r="Q11" s="659"/>
      <c r="R11" s="659"/>
      <c r="S11" s="659"/>
      <c r="T11" s="659"/>
    </row>
    <row r="12" spans="1:20" ht="21">
      <c r="A12" s="541" t="s">
        <v>65</v>
      </c>
      <c r="B12" s="665" t="s">
        <v>1343</v>
      </c>
      <c r="C12" s="666"/>
      <c r="D12" s="666"/>
      <c r="E12" s="666"/>
      <c r="F12" s="666"/>
      <c r="G12" s="666"/>
      <c r="H12" s="666"/>
      <c r="I12" s="666"/>
      <c r="J12" s="666"/>
      <c r="K12" s="666"/>
      <c r="L12" s="666"/>
      <c r="M12" s="666"/>
      <c r="N12" s="666"/>
      <c r="O12" s="666"/>
      <c r="P12" s="666"/>
      <c r="Q12" s="666"/>
      <c r="R12" s="666"/>
      <c r="S12" s="666"/>
      <c r="T12" s="666"/>
    </row>
    <row r="14" spans="1:20">
      <c r="A14" s="660" t="s">
        <v>66</v>
      </c>
      <c r="B14" s="660" t="s">
        <v>67</v>
      </c>
      <c r="C14" s="660" t="s">
        <v>68</v>
      </c>
      <c r="D14" s="662" t="s">
        <v>69</v>
      </c>
      <c r="E14" s="662"/>
      <c r="F14" s="663" t="s">
        <v>70</v>
      </c>
      <c r="G14" s="664" t="s">
        <v>71</v>
      </c>
      <c r="H14" s="664"/>
      <c r="I14" s="664"/>
      <c r="J14" s="664" t="s">
        <v>72</v>
      </c>
      <c r="K14" s="664"/>
      <c r="L14" s="664"/>
      <c r="M14" s="664" t="s">
        <v>73</v>
      </c>
      <c r="N14" s="664"/>
      <c r="O14" s="664"/>
      <c r="P14" s="664" t="s">
        <v>74</v>
      </c>
      <c r="Q14" s="664"/>
      <c r="R14" s="664"/>
      <c r="S14" s="663" t="s">
        <v>75</v>
      </c>
      <c r="T14" s="663" t="s">
        <v>76</v>
      </c>
    </row>
    <row r="15" spans="1:20" s="134" customFormat="1" ht="22.5" customHeight="1">
      <c r="A15" s="661"/>
      <c r="B15" s="661"/>
      <c r="C15" s="661"/>
      <c r="D15" s="580" t="s">
        <v>77</v>
      </c>
      <c r="E15" s="580" t="s">
        <v>78</v>
      </c>
      <c r="F15" s="663"/>
      <c r="G15" s="542" t="s">
        <v>79</v>
      </c>
      <c r="H15" s="542" t="s">
        <v>80</v>
      </c>
      <c r="I15" s="542" t="s">
        <v>81</v>
      </c>
      <c r="J15" s="542" t="s">
        <v>82</v>
      </c>
      <c r="K15" s="542" t="s">
        <v>83</v>
      </c>
      <c r="L15" s="542" t="s">
        <v>84</v>
      </c>
      <c r="M15" s="542" t="s">
        <v>85</v>
      </c>
      <c r="N15" s="542" t="s">
        <v>86</v>
      </c>
      <c r="O15" s="542" t="s">
        <v>87</v>
      </c>
      <c r="P15" s="542" t="s">
        <v>88</v>
      </c>
      <c r="Q15" s="542" t="s">
        <v>89</v>
      </c>
      <c r="R15" s="542" t="s">
        <v>90</v>
      </c>
      <c r="S15" s="663"/>
      <c r="T15" s="663"/>
    </row>
    <row r="16" spans="1:20" s="127" customFormat="1" ht="121.5" customHeight="1">
      <c r="A16" s="560" t="s">
        <v>1344</v>
      </c>
      <c r="B16" s="581" t="s">
        <v>91</v>
      </c>
      <c r="C16" s="560" t="s">
        <v>92</v>
      </c>
      <c r="D16" s="561" t="s">
        <v>93</v>
      </c>
      <c r="E16" s="562">
        <v>4</v>
      </c>
      <c r="F16" s="560" t="s">
        <v>94</v>
      </c>
      <c r="G16" s="562"/>
      <c r="H16" s="562">
        <v>1</v>
      </c>
      <c r="I16" s="562"/>
      <c r="J16" s="562"/>
      <c r="K16" s="562">
        <v>1</v>
      </c>
      <c r="L16" s="562"/>
      <c r="M16" s="562"/>
      <c r="N16" s="582">
        <v>1</v>
      </c>
      <c r="O16" s="582"/>
      <c r="P16" s="582"/>
      <c r="Q16" s="582">
        <v>1</v>
      </c>
      <c r="R16" s="582"/>
      <c r="S16" s="564"/>
      <c r="T16" s="573" t="s">
        <v>95</v>
      </c>
    </row>
    <row r="17" spans="1:62" ht="105">
      <c r="A17" s="583" t="s">
        <v>1345</v>
      </c>
      <c r="B17" s="584" t="s">
        <v>91</v>
      </c>
      <c r="C17" s="583" t="s">
        <v>96</v>
      </c>
      <c r="D17" s="481" t="s">
        <v>78</v>
      </c>
      <c r="E17" s="585">
        <v>4</v>
      </c>
      <c r="F17" s="583" t="s">
        <v>97</v>
      </c>
      <c r="G17" s="586"/>
      <c r="H17" s="586"/>
      <c r="I17" s="585">
        <v>1</v>
      </c>
      <c r="J17" s="585"/>
      <c r="K17" s="585"/>
      <c r="L17" s="585">
        <v>1</v>
      </c>
      <c r="M17" s="586"/>
      <c r="N17" s="586"/>
      <c r="O17" s="585">
        <v>1</v>
      </c>
      <c r="P17" s="586"/>
      <c r="Q17" s="586"/>
      <c r="R17" s="585">
        <v>1</v>
      </c>
      <c r="S17" s="587">
        <v>0</v>
      </c>
      <c r="T17" s="585" t="s">
        <v>731</v>
      </c>
    </row>
    <row r="18" spans="1:62" s="588" customFormat="1" ht="60" customHeight="1">
      <c r="A18" s="543" t="s">
        <v>98</v>
      </c>
      <c r="B18" s="652" t="s">
        <v>99</v>
      </c>
      <c r="C18" s="648" t="s">
        <v>100</v>
      </c>
      <c r="D18" s="648" t="s">
        <v>101</v>
      </c>
      <c r="E18" s="648">
        <v>4</v>
      </c>
      <c r="F18" s="655" t="s">
        <v>102</v>
      </c>
      <c r="G18" s="648"/>
      <c r="H18" s="648"/>
      <c r="I18" s="648"/>
      <c r="J18" s="648"/>
      <c r="K18" s="648"/>
      <c r="L18" s="648"/>
      <c r="M18" s="648"/>
      <c r="N18" s="648">
        <v>1</v>
      </c>
      <c r="O18" s="648">
        <v>1</v>
      </c>
      <c r="P18" s="648"/>
      <c r="Q18" s="648">
        <v>1</v>
      </c>
      <c r="R18" s="648">
        <v>1</v>
      </c>
      <c r="S18" s="648"/>
      <c r="T18" s="64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row>
    <row r="19" spans="1:62" s="588" customFormat="1">
      <c r="A19" s="550" t="s">
        <v>1346</v>
      </c>
      <c r="B19" s="653"/>
      <c r="C19" s="649"/>
      <c r="D19" s="649"/>
      <c r="E19" s="649"/>
      <c r="F19" s="656"/>
      <c r="G19" s="649"/>
      <c r="H19" s="649"/>
      <c r="I19" s="649"/>
      <c r="J19" s="649"/>
      <c r="K19" s="649"/>
      <c r="L19" s="649"/>
      <c r="M19" s="649"/>
      <c r="N19" s="649"/>
      <c r="O19" s="649"/>
      <c r="P19" s="649"/>
      <c r="Q19" s="649"/>
      <c r="R19" s="649"/>
      <c r="S19" s="649"/>
      <c r="T19" s="64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row>
    <row r="20" spans="1:62" s="588" customFormat="1">
      <c r="A20" s="550" t="s">
        <v>1347</v>
      </c>
      <c r="B20" s="653"/>
      <c r="C20" s="649"/>
      <c r="D20" s="649"/>
      <c r="E20" s="649"/>
      <c r="F20" s="656"/>
      <c r="G20" s="649"/>
      <c r="H20" s="649"/>
      <c r="I20" s="649"/>
      <c r="J20" s="649"/>
      <c r="K20" s="649"/>
      <c r="L20" s="649"/>
      <c r="M20" s="649"/>
      <c r="N20" s="649"/>
      <c r="O20" s="649"/>
      <c r="P20" s="649"/>
      <c r="Q20" s="649"/>
      <c r="R20" s="649"/>
      <c r="S20" s="649"/>
      <c r="T20" s="649"/>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row>
    <row r="21" spans="1:62" s="588" customFormat="1">
      <c r="A21" s="551" t="s">
        <v>1348</v>
      </c>
      <c r="B21" s="654"/>
      <c r="C21" s="650"/>
      <c r="D21" s="650"/>
      <c r="E21" s="650"/>
      <c r="F21" s="657"/>
      <c r="G21" s="650"/>
      <c r="H21" s="650"/>
      <c r="I21" s="650"/>
      <c r="J21" s="650"/>
      <c r="K21" s="650"/>
      <c r="L21" s="650"/>
      <c r="M21" s="650"/>
      <c r="N21" s="650"/>
      <c r="O21" s="650"/>
      <c r="P21" s="650"/>
      <c r="Q21" s="650"/>
      <c r="R21" s="650"/>
      <c r="S21" s="650"/>
      <c r="T21" s="650"/>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row>
    <row r="22" spans="1:62" ht="75">
      <c r="A22" s="589" t="s">
        <v>1349</v>
      </c>
      <c r="B22" s="584" t="s">
        <v>103</v>
      </c>
      <c r="C22" s="583" t="s">
        <v>104</v>
      </c>
      <c r="D22" s="585" t="s">
        <v>101</v>
      </c>
      <c r="E22" s="585">
        <v>1</v>
      </c>
      <c r="F22" s="583" t="s">
        <v>105</v>
      </c>
      <c r="G22" s="586"/>
      <c r="H22" s="586"/>
      <c r="I22" s="586"/>
      <c r="J22" s="586"/>
      <c r="K22" s="586"/>
      <c r="L22" s="585">
        <v>1</v>
      </c>
      <c r="M22" s="586"/>
      <c r="N22" s="586"/>
      <c r="O22" s="586"/>
      <c r="P22" s="586"/>
      <c r="Q22" s="586"/>
      <c r="R22" s="585"/>
      <c r="S22" s="587">
        <v>0</v>
      </c>
      <c r="T22" s="590" t="s">
        <v>106</v>
      </c>
    </row>
    <row r="23" spans="1:62" ht="135">
      <c r="A23" s="560" t="s">
        <v>107</v>
      </c>
      <c r="B23" s="581" t="s">
        <v>1350</v>
      </c>
      <c r="C23" s="560" t="s">
        <v>108</v>
      </c>
      <c r="D23" s="562" t="s">
        <v>78</v>
      </c>
      <c r="E23" s="562">
        <v>2</v>
      </c>
      <c r="F23" s="591" t="s">
        <v>1351</v>
      </c>
      <c r="G23" s="562"/>
      <c r="H23" s="561"/>
      <c r="I23" s="562"/>
      <c r="J23" s="562"/>
      <c r="K23" s="562"/>
      <c r="L23" s="562"/>
      <c r="M23" s="562">
        <v>1</v>
      </c>
      <c r="N23" s="562"/>
      <c r="O23" s="562"/>
      <c r="P23" s="562"/>
      <c r="Q23" s="562"/>
      <c r="R23" s="562">
        <v>1</v>
      </c>
      <c r="S23" s="592">
        <v>0</v>
      </c>
      <c r="T23" s="561" t="s">
        <v>109</v>
      </c>
      <c r="U23" s="134"/>
    </row>
    <row r="24" spans="1:62" ht="42.75" customHeight="1">
      <c r="A24" s="583" t="s">
        <v>110</v>
      </c>
      <c r="B24" s="583" t="s">
        <v>111</v>
      </c>
      <c r="C24" s="583" t="s">
        <v>112</v>
      </c>
      <c r="D24" s="481" t="s">
        <v>78</v>
      </c>
      <c r="E24" s="481">
        <v>1</v>
      </c>
      <c r="F24" s="583" t="s">
        <v>1352</v>
      </c>
      <c r="G24" s="481"/>
      <c r="H24" s="481"/>
      <c r="I24" s="481">
        <v>1</v>
      </c>
      <c r="J24" s="481"/>
      <c r="K24" s="481"/>
      <c r="L24" s="481"/>
      <c r="M24" s="481"/>
      <c r="N24" s="481"/>
      <c r="O24" s="481"/>
      <c r="P24" s="481"/>
      <c r="Q24" s="481"/>
      <c r="R24" s="481"/>
      <c r="S24" s="593">
        <v>0</v>
      </c>
      <c r="T24" s="481" t="s">
        <v>113</v>
      </c>
      <c r="U24" s="134"/>
    </row>
    <row r="25" spans="1:62">
      <c r="A25" s="594"/>
      <c r="B25" s="595"/>
      <c r="C25" s="596"/>
      <c r="D25" s="595"/>
      <c r="E25" s="595"/>
      <c r="F25" s="597"/>
      <c r="G25" s="595"/>
      <c r="H25" s="597"/>
      <c r="I25" s="598"/>
      <c r="J25" s="598"/>
      <c r="K25" s="598"/>
      <c r="L25" s="598"/>
      <c r="M25" s="598"/>
      <c r="N25" s="598"/>
      <c r="O25" s="598"/>
      <c r="P25" s="598"/>
      <c r="Q25" s="598"/>
      <c r="R25" s="595"/>
      <c r="S25" s="599"/>
      <c r="T25" s="596"/>
      <c r="U25" s="134"/>
    </row>
    <row r="26" spans="1:62">
      <c r="A26" s="594"/>
      <c r="B26" s="595"/>
      <c r="C26" s="596"/>
      <c r="D26" s="595"/>
      <c r="E26" s="595"/>
      <c r="F26" s="597"/>
      <c r="G26" s="595"/>
      <c r="H26" s="597"/>
      <c r="I26" s="598"/>
      <c r="J26" s="598"/>
      <c r="K26" s="598"/>
      <c r="L26" s="598"/>
      <c r="M26" s="598"/>
      <c r="N26" s="598"/>
      <c r="O26" s="598"/>
      <c r="P26" s="598"/>
      <c r="Q26" s="598"/>
      <c r="R26" s="595"/>
      <c r="S26" s="599"/>
      <c r="T26" s="596"/>
      <c r="U26" s="134"/>
    </row>
    <row r="27" spans="1:62">
      <c r="A27" s="594"/>
      <c r="B27" s="595"/>
      <c r="C27" s="596"/>
      <c r="D27" s="595"/>
      <c r="E27" s="595"/>
      <c r="F27" s="597"/>
      <c r="G27" s="595"/>
      <c r="H27" s="597"/>
      <c r="I27" s="598"/>
      <c r="J27" s="598"/>
      <c r="K27" s="598"/>
      <c r="L27" s="598"/>
      <c r="M27" s="598"/>
      <c r="N27" s="598"/>
      <c r="O27" s="598"/>
      <c r="P27" s="598"/>
      <c r="Q27" s="598"/>
      <c r="R27" s="595"/>
      <c r="S27" s="599"/>
      <c r="T27" s="596"/>
      <c r="U27" s="134"/>
    </row>
    <row r="28" spans="1:62">
      <c r="M28" s="574"/>
      <c r="N28" s="574"/>
      <c r="O28" s="574"/>
      <c r="P28" s="574"/>
      <c r="Q28" s="574"/>
      <c r="R28" s="574"/>
    </row>
    <row r="31" spans="1:62">
      <c r="A31"/>
      <c r="C31"/>
    </row>
    <row r="32" spans="1:62" s="27" customFormat="1" ht="14.25">
      <c r="C32" s="64"/>
      <c r="E32" s="47"/>
      <c r="H32" s="65"/>
      <c r="V32" s="65"/>
    </row>
    <row r="33" spans="1:22" s="27" customFormat="1" ht="14.25">
      <c r="A33" s="233"/>
      <c r="B33" s="233"/>
      <c r="C33" s="233"/>
      <c r="E33" s="47"/>
      <c r="G33" s="233"/>
      <c r="H33" s="234"/>
      <c r="I33" s="233"/>
      <c r="J33" s="233"/>
      <c r="K33" s="233"/>
      <c r="L33" s="233"/>
      <c r="P33" s="233"/>
      <c r="Q33" s="233"/>
      <c r="R33" s="233"/>
      <c r="S33" s="233"/>
      <c r="V33" s="65"/>
    </row>
    <row r="34" spans="1:22" s="27" customFormat="1" ht="18">
      <c r="A34" s="651" t="s">
        <v>1341</v>
      </c>
      <c r="B34" s="651"/>
      <c r="C34" s="651"/>
      <c r="D34" s="235"/>
      <c r="E34" s="236"/>
      <c r="F34" s="237"/>
      <c r="G34" s="651" t="s">
        <v>493</v>
      </c>
      <c r="H34" s="651"/>
      <c r="I34" s="651"/>
      <c r="J34" s="651"/>
      <c r="K34" s="651"/>
      <c r="L34" s="651"/>
      <c r="M34" s="235"/>
      <c r="N34" s="235"/>
      <c r="O34" s="651" t="s">
        <v>494</v>
      </c>
      <c r="P34" s="651"/>
      <c r="Q34" s="651"/>
      <c r="R34" s="651"/>
      <c r="S34" s="651"/>
      <c r="T34" s="651"/>
      <c r="U34" s="235"/>
      <c r="V34" s="65"/>
    </row>
    <row r="35" spans="1:22" s="27" customFormat="1">
      <c r="A35" s="647" t="s">
        <v>1342</v>
      </c>
      <c r="B35" s="647"/>
      <c r="C35" s="647"/>
      <c r="D35" s="172"/>
      <c r="E35" s="238"/>
      <c r="F35" s="172"/>
      <c r="G35" s="647" t="s">
        <v>496</v>
      </c>
      <c r="H35" s="647"/>
      <c r="I35" s="647"/>
      <c r="J35" s="647"/>
      <c r="K35" s="647"/>
      <c r="L35" s="647"/>
      <c r="M35" s="172"/>
      <c r="N35" s="172"/>
      <c r="O35" s="647" t="s">
        <v>497</v>
      </c>
      <c r="P35" s="647"/>
      <c r="Q35" s="647"/>
      <c r="R35" s="647"/>
      <c r="S35" s="647"/>
      <c r="T35" s="647"/>
      <c r="U35" s="172"/>
      <c r="V35" s="65"/>
    </row>
    <row r="36" spans="1:22" s="27" customFormat="1" ht="14.25">
      <c r="A36" s="64"/>
      <c r="C36" s="64"/>
      <c r="E36" s="47"/>
      <c r="G36" s="64"/>
      <c r="H36" s="65"/>
      <c r="V36" s="65"/>
    </row>
    <row r="37" spans="1:22">
      <c r="A37"/>
      <c r="C37"/>
    </row>
  </sheetData>
  <mergeCells count="41">
    <mergeCell ref="A7:T7"/>
    <mergeCell ref="B10:T10"/>
    <mergeCell ref="A14:A15"/>
    <mergeCell ref="B14:B15"/>
    <mergeCell ref="C14:C15"/>
    <mergeCell ref="D14:E14"/>
    <mergeCell ref="F14:F15"/>
    <mergeCell ref="G14:I14"/>
    <mergeCell ref="J14:L14"/>
    <mergeCell ref="M14:O14"/>
    <mergeCell ref="P14:R14"/>
    <mergeCell ref="S14:S15"/>
    <mergeCell ref="T14:T15"/>
    <mergeCell ref="A8:T8"/>
    <mergeCell ref="B11:T11"/>
    <mergeCell ref="B12:T12"/>
    <mergeCell ref="H18:H21"/>
    <mergeCell ref="I18:I21"/>
    <mergeCell ref="J18:J21"/>
    <mergeCell ref="K18:K21"/>
    <mergeCell ref="B18:B21"/>
    <mergeCell ref="C18:C21"/>
    <mergeCell ref="D18:D21"/>
    <mergeCell ref="E18:E21"/>
    <mergeCell ref="F18:F21"/>
    <mergeCell ref="A35:C35"/>
    <mergeCell ref="G35:L35"/>
    <mergeCell ref="O35:T35"/>
    <mergeCell ref="Q18:Q21"/>
    <mergeCell ref="R18:R21"/>
    <mergeCell ref="S18:S21"/>
    <mergeCell ref="T18:T21"/>
    <mergeCell ref="A34:C34"/>
    <mergeCell ref="G34:L34"/>
    <mergeCell ref="O34:T34"/>
    <mergeCell ref="L18:L21"/>
    <mergeCell ref="M18:M21"/>
    <mergeCell ref="N18:N21"/>
    <mergeCell ref="O18:O21"/>
    <mergeCell ref="P18:P21"/>
    <mergeCell ref="G18:G2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82ADF-1F67-4E65-B504-B0A98F607787}">
  <dimension ref="A3:F22"/>
  <sheetViews>
    <sheetView showGridLines="0" zoomScale="115" zoomScaleNormal="115" workbookViewId="0">
      <selection activeCell="B13" sqref="B13:F13"/>
    </sheetView>
  </sheetViews>
  <sheetFormatPr defaultRowHeight="14.25"/>
  <cols>
    <col min="1" max="1" width="31.42578125" style="27" bestFit="1" customWidth="1"/>
    <col min="2" max="2" width="26.140625" style="27" bestFit="1" customWidth="1"/>
    <col min="3" max="3" width="19.7109375" style="27" bestFit="1" customWidth="1"/>
    <col min="4" max="4" width="18.140625" style="27" bestFit="1" customWidth="1"/>
    <col min="5" max="5" width="17.140625" style="27" customWidth="1"/>
    <col min="6" max="6" width="26" style="27" bestFit="1" customWidth="1"/>
    <col min="7" max="16384" width="9.140625" style="27"/>
  </cols>
  <sheetData>
    <row r="3" spans="1:6" ht="15">
      <c r="A3" s="946" t="s">
        <v>1125</v>
      </c>
      <c r="B3" s="946"/>
      <c r="C3" s="946"/>
      <c r="D3" s="946"/>
      <c r="E3" s="946"/>
      <c r="F3" s="946"/>
    </row>
    <row r="4" spans="1:6" ht="15">
      <c r="A4" s="244" t="s">
        <v>1118</v>
      </c>
      <c r="B4" s="244" t="s">
        <v>186</v>
      </c>
      <c r="C4" s="244" t="s">
        <v>1124</v>
      </c>
      <c r="D4" s="244" t="s">
        <v>871</v>
      </c>
      <c r="E4" s="244" t="s">
        <v>27</v>
      </c>
      <c r="F4" s="244" t="s">
        <v>874</v>
      </c>
    </row>
    <row r="5" spans="1:6">
      <c r="A5" s="391" t="s">
        <v>1119</v>
      </c>
      <c r="B5" s="394">
        <f>SUM('1- Presupuesto Análisis'!U17:U22)</f>
        <v>0</v>
      </c>
      <c r="C5" s="394">
        <f>'1- Presupuesto Análisis'!U23</f>
        <v>0</v>
      </c>
      <c r="D5" s="397">
        <v>0</v>
      </c>
      <c r="E5" s="397">
        <v>0</v>
      </c>
      <c r="F5" s="397">
        <v>0</v>
      </c>
    </row>
    <row r="6" spans="1:6">
      <c r="A6" s="392" t="s">
        <v>182</v>
      </c>
      <c r="B6" s="395">
        <f>SUM('2- Presupuesto Operaciones'!U17:U41)</f>
        <v>3999998</v>
      </c>
      <c r="C6" s="396">
        <v>0</v>
      </c>
      <c r="D6" s="396">
        <v>0</v>
      </c>
      <c r="E6" s="396">
        <v>0</v>
      </c>
      <c r="F6" s="396">
        <v>0</v>
      </c>
    </row>
    <row r="7" spans="1:6">
      <c r="A7" s="391" t="s">
        <v>1120</v>
      </c>
      <c r="B7" s="394">
        <f>SUM('3- Presupuesto Calidad del Dato'!U17:U18)</f>
        <v>513900</v>
      </c>
      <c r="C7" s="397">
        <v>0</v>
      </c>
      <c r="D7" s="397">
        <v>0</v>
      </c>
      <c r="E7" s="397">
        <v>0</v>
      </c>
      <c r="F7" s="397">
        <v>0</v>
      </c>
    </row>
    <row r="8" spans="1:6">
      <c r="A8" s="392" t="s">
        <v>305</v>
      </c>
      <c r="B8" s="395">
        <f>SUM('4- Presupuesto Cartografía'!U17:U49)</f>
        <v>2207443.7599999998</v>
      </c>
      <c r="C8" s="396">
        <v>0</v>
      </c>
      <c r="D8" s="396">
        <v>0</v>
      </c>
      <c r="E8" s="396">
        <v>0</v>
      </c>
      <c r="F8" s="396">
        <v>0</v>
      </c>
    </row>
    <row r="9" spans="1:6">
      <c r="A9" s="391" t="s">
        <v>1121</v>
      </c>
      <c r="B9" s="394">
        <f>'5- Presupuesto Adm. y Fin.'!U17+'5- Presupuesto Adm. y Fin.'!U18+'5- Presupuesto Adm. y Fin.'!U19+'5- Presupuesto Adm. y Fin.'!U49</f>
        <v>683900</v>
      </c>
      <c r="C9" s="397">
        <v>0</v>
      </c>
      <c r="D9" s="397">
        <v>0</v>
      </c>
      <c r="E9" s="397">
        <v>0</v>
      </c>
      <c r="F9" s="397">
        <v>0</v>
      </c>
    </row>
    <row r="10" spans="1:6">
      <c r="A10" s="392" t="s">
        <v>501</v>
      </c>
      <c r="B10" s="395">
        <f>SUM('6- Presupuesto Comunicaciones'!U17:U59)</f>
        <v>1161450</v>
      </c>
      <c r="C10" s="396">
        <v>0</v>
      </c>
      <c r="D10" s="395" t="s">
        <v>152</v>
      </c>
      <c r="E10" s="395">
        <f>'6- Presupuesto Comunicaciones'!U63</f>
        <v>2726500</v>
      </c>
      <c r="F10" s="396">
        <v>0</v>
      </c>
    </row>
    <row r="11" spans="1:6">
      <c r="A11" s="391" t="s">
        <v>657</v>
      </c>
      <c r="B11" s="394">
        <f>'7- Presupuesto SGI'!U20</f>
        <v>1782956.25</v>
      </c>
      <c r="C11" s="397">
        <v>0</v>
      </c>
      <c r="D11" s="397">
        <v>0</v>
      </c>
      <c r="E11" s="397">
        <v>0</v>
      </c>
      <c r="F11" s="397">
        <v>0</v>
      </c>
    </row>
    <row r="12" spans="1:6">
      <c r="A12" s="392" t="s">
        <v>1122</v>
      </c>
      <c r="B12" s="395">
        <f>SUM('8- Presupuesto RRHH'!U16:U41)</f>
        <v>3354750</v>
      </c>
      <c r="C12" s="396">
        <v>0</v>
      </c>
      <c r="D12" s="396">
        <v>0</v>
      </c>
      <c r="E12" s="396">
        <v>0</v>
      </c>
      <c r="F12" s="396">
        <v>0</v>
      </c>
    </row>
    <row r="13" spans="1:6">
      <c r="A13" s="391" t="s">
        <v>835</v>
      </c>
      <c r="B13" s="394">
        <f>SUM('9- Presupueto TIC'!U23:U30,'9- Presupueto TIC'!U34:U37)</f>
        <v>1492200</v>
      </c>
      <c r="C13" s="397">
        <v>0</v>
      </c>
      <c r="D13" s="394">
        <f>SUM('9- Presupueto TIC'!U49,'9- Presupueto TIC'!U47,'9- Presupueto TIC'!U45:U46,'9- Presupueto TIC'!U44,'9- Presupueto TIC'!U43,'9- Presupueto TIC'!U19,'9- Presupueto TIC'!U17)</f>
        <v>38441875</v>
      </c>
      <c r="E13" s="394">
        <f>'9- Presupueto TIC'!U50</f>
        <v>1375000</v>
      </c>
      <c r="F13" s="394">
        <f>SUM('9- Presupueto TIC'!U20,'9- Presupueto TIC'!U21,'9- Presupueto TIC'!U22)</f>
        <v>2100000</v>
      </c>
    </row>
    <row r="14" spans="1:6">
      <c r="A14" s="392" t="s">
        <v>1123</v>
      </c>
      <c r="B14" s="395">
        <f>'10- Presupuesto PyD'!U39</f>
        <v>0</v>
      </c>
      <c r="C14" s="396">
        <v>0</v>
      </c>
      <c r="D14" s="396">
        <v>0</v>
      </c>
      <c r="E14" s="396">
        <v>0</v>
      </c>
      <c r="F14" s="396">
        <v>0</v>
      </c>
    </row>
    <row r="15" spans="1:6" ht="15">
      <c r="A15" s="393" t="s">
        <v>153</v>
      </c>
      <c r="B15" s="316">
        <f>SUM(B5:B14)</f>
        <v>15196598.01</v>
      </c>
      <c r="C15" s="316">
        <f>SUM(C5:C14)</f>
        <v>0</v>
      </c>
      <c r="D15" s="229">
        <f>SUM(D5:D14)</f>
        <v>38441875</v>
      </c>
      <c r="E15" s="316">
        <f>SUM(E5:E14)</f>
        <v>4101500</v>
      </c>
      <c r="F15" s="316">
        <f>SUM(F5:F14)</f>
        <v>2100000</v>
      </c>
    </row>
    <row r="21" spans="2:2">
      <c r="B21" s="398">
        <v>16706600</v>
      </c>
    </row>
    <row r="22" spans="2:2">
      <c r="B22" s="399">
        <f>B21-B15</f>
        <v>1510001.9900000002</v>
      </c>
    </row>
  </sheetData>
  <mergeCells count="1">
    <mergeCell ref="A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FCB33-05BA-4C51-AFB7-F0619CF2856E}">
  <dimension ref="A7:BO35"/>
  <sheetViews>
    <sheetView showGridLines="0" workbookViewId="0">
      <selection activeCell="A14" sqref="A14:A15"/>
    </sheetView>
  </sheetViews>
  <sheetFormatPr defaultColWidth="11.42578125" defaultRowHeight="15"/>
  <cols>
    <col min="1" max="1" width="41.7109375" style="358" customWidth="1"/>
    <col min="2" max="2" width="20.28515625" bestFit="1" customWidth="1"/>
    <col min="3" max="3" width="22.7109375" style="358" bestFit="1" customWidth="1"/>
    <col min="4" max="4" width="17.7109375" style="405" bestFit="1" customWidth="1"/>
    <col min="5" max="5" width="16.85546875" style="405" customWidth="1"/>
    <col min="6" max="6" width="59.7109375" customWidth="1"/>
    <col min="7" max="7" width="7.140625" bestFit="1" customWidth="1"/>
    <col min="8" max="8" width="8" bestFit="1" customWidth="1"/>
    <col min="9" max="14" width="7.140625" bestFit="1" customWidth="1"/>
    <col min="15" max="15" width="11.42578125" bestFit="1" customWidth="1"/>
    <col min="16" max="16" width="8.140625" bestFit="1" customWidth="1"/>
    <col min="17" max="17" width="11" bestFit="1" customWidth="1"/>
    <col min="18" max="18" width="10.140625" bestFit="1" customWidth="1"/>
    <col min="19" max="19" width="17.85546875" bestFit="1" customWidth="1"/>
    <col min="20" max="20" width="26.42578125" style="405" customWidth="1"/>
  </cols>
  <sheetData>
    <row r="7" spans="1:20" ht="21">
      <c r="A7" s="658" t="s">
        <v>60</v>
      </c>
      <c r="B7" s="658"/>
      <c r="C7" s="658"/>
      <c r="D7" s="658"/>
      <c r="E7" s="658"/>
      <c r="F7" s="658"/>
      <c r="G7" s="658"/>
      <c r="H7" s="658"/>
      <c r="I7" s="658"/>
      <c r="J7" s="658"/>
      <c r="K7" s="658"/>
      <c r="L7" s="658"/>
      <c r="M7" s="658"/>
      <c r="N7" s="658"/>
      <c r="O7" s="658"/>
      <c r="P7" s="658"/>
      <c r="Q7" s="658"/>
      <c r="R7" s="658"/>
      <c r="S7" s="658"/>
      <c r="T7" s="658"/>
    </row>
    <row r="8" spans="1:20" ht="21">
      <c r="A8" s="658" t="s">
        <v>61</v>
      </c>
      <c r="B8" s="658"/>
      <c r="C8" s="658"/>
      <c r="D8" s="658"/>
      <c r="E8" s="658"/>
      <c r="F8" s="658"/>
      <c r="G8" s="658"/>
      <c r="H8" s="658"/>
      <c r="I8" s="658"/>
      <c r="J8" s="658"/>
      <c r="K8" s="658"/>
      <c r="L8" s="658"/>
      <c r="M8" s="658"/>
      <c r="N8" s="658"/>
      <c r="O8" s="658"/>
      <c r="P8" s="658"/>
      <c r="Q8" s="658"/>
      <c r="R8" s="658"/>
      <c r="S8" s="658"/>
      <c r="T8" s="658"/>
    </row>
    <row r="9" spans="1:20" ht="21">
      <c r="A9" s="579"/>
      <c r="B9" s="404"/>
      <c r="C9" s="579"/>
      <c r="D9" s="404"/>
      <c r="E9" s="404"/>
      <c r="F9" s="404"/>
      <c r="G9" s="404"/>
      <c r="H9" s="404"/>
      <c r="I9" s="404"/>
      <c r="J9" s="404"/>
      <c r="K9" s="404"/>
      <c r="L9" s="404"/>
      <c r="M9" s="404"/>
      <c r="N9" s="404"/>
      <c r="O9" s="404"/>
      <c r="P9" s="404"/>
      <c r="Q9" s="404"/>
      <c r="R9" s="404"/>
      <c r="S9" s="404"/>
      <c r="T9" s="404"/>
    </row>
    <row r="10" spans="1:20" ht="21">
      <c r="A10" s="541" t="s">
        <v>62</v>
      </c>
      <c r="B10" s="659" t="s">
        <v>1306</v>
      </c>
      <c r="C10" s="659"/>
      <c r="D10" s="659"/>
      <c r="E10" s="659"/>
      <c r="F10" s="659"/>
      <c r="G10" s="659"/>
      <c r="H10" s="659"/>
      <c r="I10" s="659"/>
      <c r="J10" s="659"/>
      <c r="K10" s="659"/>
      <c r="L10" s="659"/>
      <c r="M10" s="659"/>
      <c r="N10" s="659"/>
      <c r="O10" s="659"/>
      <c r="P10" s="659"/>
      <c r="Q10" s="659"/>
      <c r="R10" s="659"/>
      <c r="S10" s="659"/>
      <c r="T10" s="659"/>
    </row>
    <row r="11" spans="1:20" ht="21">
      <c r="A11" s="541" t="s">
        <v>63</v>
      </c>
      <c r="B11" s="659" t="s">
        <v>114</v>
      </c>
      <c r="C11" s="659"/>
      <c r="D11" s="659"/>
      <c r="E11" s="659"/>
      <c r="F11" s="659"/>
      <c r="G11" s="659"/>
      <c r="H11" s="659"/>
      <c r="I11" s="659"/>
      <c r="J11" s="659"/>
      <c r="K11" s="659"/>
      <c r="L11" s="659"/>
      <c r="M11" s="659"/>
      <c r="N11" s="659"/>
      <c r="O11" s="659"/>
      <c r="P11" s="659"/>
      <c r="Q11" s="659"/>
      <c r="R11" s="659"/>
      <c r="S11" s="659"/>
      <c r="T11" s="659"/>
    </row>
    <row r="12" spans="1:20" ht="21">
      <c r="A12" s="541" t="s">
        <v>65</v>
      </c>
      <c r="B12" s="671" t="s">
        <v>138</v>
      </c>
      <c r="C12" s="672"/>
      <c r="D12" s="672"/>
      <c r="E12" s="672"/>
      <c r="F12" s="672"/>
      <c r="G12" s="672"/>
      <c r="H12" s="672"/>
      <c r="I12" s="672"/>
      <c r="J12" s="672"/>
      <c r="K12" s="672"/>
      <c r="L12" s="672"/>
      <c r="M12" s="672"/>
      <c r="N12" s="672"/>
      <c r="O12" s="672"/>
      <c r="P12" s="672"/>
      <c r="Q12" s="672"/>
      <c r="R12" s="672"/>
      <c r="S12" s="672"/>
      <c r="T12" s="673"/>
    </row>
    <row r="14" spans="1:20" ht="15.75" customHeight="1">
      <c r="A14" s="674" t="s">
        <v>66</v>
      </c>
      <c r="B14" s="674" t="s">
        <v>67</v>
      </c>
      <c r="C14" s="674" t="s">
        <v>68</v>
      </c>
      <c r="D14" s="662" t="s">
        <v>69</v>
      </c>
      <c r="E14" s="662"/>
      <c r="F14" s="663" t="s">
        <v>70</v>
      </c>
      <c r="G14" s="664" t="s">
        <v>71</v>
      </c>
      <c r="H14" s="664"/>
      <c r="I14" s="664"/>
      <c r="J14" s="664" t="s">
        <v>72</v>
      </c>
      <c r="K14" s="664"/>
      <c r="L14" s="664"/>
      <c r="M14" s="664" t="s">
        <v>73</v>
      </c>
      <c r="N14" s="664"/>
      <c r="O14" s="664"/>
      <c r="P14" s="664" t="s">
        <v>74</v>
      </c>
      <c r="Q14" s="664"/>
      <c r="R14" s="664"/>
      <c r="S14" s="663" t="s">
        <v>75</v>
      </c>
      <c r="T14" s="663" t="s">
        <v>76</v>
      </c>
    </row>
    <row r="15" spans="1:20" s="134" customFormat="1" ht="21" customHeight="1">
      <c r="A15" s="674"/>
      <c r="B15" s="674"/>
      <c r="C15" s="674"/>
      <c r="D15" s="580" t="s">
        <v>77</v>
      </c>
      <c r="E15" s="580" t="s">
        <v>78</v>
      </c>
      <c r="F15" s="663"/>
      <c r="G15" s="580" t="s">
        <v>79</v>
      </c>
      <c r="H15" s="580" t="s">
        <v>80</v>
      </c>
      <c r="I15" s="580" t="s">
        <v>81</v>
      </c>
      <c r="J15" s="580" t="s">
        <v>82</v>
      </c>
      <c r="K15" s="580" t="s">
        <v>83</v>
      </c>
      <c r="L15" s="580" t="s">
        <v>84</v>
      </c>
      <c r="M15" s="580" t="s">
        <v>85</v>
      </c>
      <c r="N15" s="580" t="s">
        <v>86</v>
      </c>
      <c r="O15" s="580" t="s">
        <v>87</v>
      </c>
      <c r="P15" s="580" t="s">
        <v>88</v>
      </c>
      <c r="Q15" s="580" t="s">
        <v>89</v>
      </c>
      <c r="R15" s="580" t="s">
        <v>90</v>
      </c>
      <c r="S15" s="663"/>
      <c r="T15" s="663"/>
    </row>
    <row r="16" spans="1:20" s="601" customFormat="1" ht="90">
      <c r="A16" s="560" t="s">
        <v>115</v>
      </c>
      <c r="B16" s="560" t="s">
        <v>116</v>
      </c>
      <c r="C16" s="560" t="s">
        <v>117</v>
      </c>
      <c r="D16" s="562" t="s">
        <v>101</v>
      </c>
      <c r="E16" s="562">
        <v>3</v>
      </c>
      <c r="F16" s="560" t="s">
        <v>118</v>
      </c>
      <c r="G16" s="600"/>
      <c r="H16" s="562"/>
      <c r="I16" s="562">
        <v>1</v>
      </c>
      <c r="J16" s="562"/>
      <c r="K16" s="600"/>
      <c r="L16" s="562"/>
      <c r="M16" s="600"/>
      <c r="N16" s="562"/>
      <c r="O16" s="562">
        <v>1</v>
      </c>
      <c r="P16" s="562"/>
      <c r="Q16" s="600"/>
      <c r="R16" s="562">
        <v>1</v>
      </c>
      <c r="S16" s="564"/>
      <c r="T16" s="562" t="s">
        <v>731</v>
      </c>
    </row>
    <row r="17" spans="1:67" s="605" customFormat="1" ht="75">
      <c r="A17" s="567" t="s">
        <v>119</v>
      </c>
      <c r="B17" s="567" t="s">
        <v>120</v>
      </c>
      <c r="C17" s="567" t="s">
        <v>117</v>
      </c>
      <c r="D17" s="555" t="s">
        <v>101</v>
      </c>
      <c r="E17" s="555">
        <v>1</v>
      </c>
      <c r="F17" s="567" t="s">
        <v>121</v>
      </c>
      <c r="G17" s="602"/>
      <c r="H17" s="602"/>
      <c r="I17" s="603"/>
      <c r="J17" s="602"/>
      <c r="K17" s="604"/>
      <c r="L17" s="555"/>
      <c r="M17" s="604"/>
      <c r="N17" s="604"/>
      <c r="O17" s="555"/>
      <c r="P17" s="604"/>
      <c r="Q17" s="604"/>
      <c r="R17" s="555">
        <v>1</v>
      </c>
      <c r="S17" s="557"/>
      <c r="T17" s="555" t="s">
        <v>731</v>
      </c>
    </row>
    <row r="18" spans="1:67" s="127" customFormat="1" ht="75" customHeight="1">
      <c r="A18" s="560" t="s">
        <v>1353</v>
      </c>
      <c r="B18" s="669" t="s">
        <v>122</v>
      </c>
      <c r="C18" s="669" t="s">
        <v>123</v>
      </c>
      <c r="D18" s="667" t="s">
        <v>124</v>
      </c>
      <c r="E18" s="667">
        <v>3</v>
      </c>
      <c r="F18" s="670" t="s">
        <v>1354</v>
      </c>
      <c r="G18" s="667"/>
      <c r="H18" s="667"/>
      <c r="I18" s="667"/>
      <c r="J18" s="667">
        <v>1</v>
      </c>
      <c r="K18" s="667"/>
      <c r="L18" s="667"/>
      <c r="M18" s="667"/>
      <c r="N18" s="667"/>
      <c r="O18" s="667"/>
      <c r="P18" s="667"/>
      <c r="Q18" s="667"/>
      <c r="R18" s="667"/>
      <c r="S18" s="668"/>
      <c r="T18" s="669"/>
    </row>
    <row r="19" spans="1:67" s="127" customFormat="1" ht="30">
      <c r="A19" s="560" t="s">
        <v>1355</v>
      </c>
      <c r="B19" s="669"/>
      <c r="C19" s="669"/>
      <c r="D19" s="667"/>
      <c r="E19" s="667"/>
      <c r="F19" s="670"/>
      <c r="G19" s="667"/>
      <c r="H19" s="667"/>
      <c r="I19" s="667"/>
      <c r="J19" s="667"/>
      <c r="K19" s="667"/>
      <c r="L19" s="667"/>
      <c r="M19" s="667"/>
      <c r="N19" s="667"/>
      <c r="O19" s="667"/>
      <c r="P19" s="667"/>
      <c r="Q19" s="667"/>
      <c r="R19" s="667"/>
      <c r="S19" s="668"/>
      <c r="T19" s="669"/>
    </row>
    <row r="20" spans="1:67" s="601" customFormat="1" ht="75">
      <c r="A20" s="567" t="s">
        <v>1356</v>
      </c>
      <c r="B20" s="606" t="s">
        <v>125</v>
      </c>
      <c r="C20" s="567" t="s">
        <v>126</v>
      </c>
      <c r="D20" s="555" t="s">
        <v>101</v>
      </c>
      <c r="E20" s="555">
        <v>1</v>
      </c>
      <c r="F20" s="567" t="s">
        <v>127</v>
      </c>
      <c r="G20" s="555"/>
      <c r="H20" s="555"/>
      <c r="I20" s="555"/>
      <c r="J20" s="555"/>
      <c r="K20" s="555"/>
      <c r="L20" s="555"/>
      <c r="M20" s="555"/>
      <c r="N20" s="555"/>
      <c r="O20" s="555"/>
      <c r="P20" s="555">
        <v>1</v>
      </c>
      <c r="Q20" s="555"/>
      <c r="R20" s="555"/>
      <c r="S20" s="557"/>
      <c r="T20" s="567"/>
    </row>
    <row r="21" spans="1:67" ht="45">
      <c r="A21" s="607" t="s">
        <v>128</v>
      </c>
      <c r="B21" s="608" t="s">
        <v>129</v>
      </c>
      <c r="C21" s="607" t="s">
        <v>130</v>
      </c>
      <c r="D21" s="609" t="s">
        <v>101</v>
      </c>
      <c r="E21" s="609">
        <v>1</v>
      </c>
      <c r="F21" s="607" t="s">
        <v>1357</v>
      </c>
      <c r="G21" s="610"/>
      <c r="H21" s="610"/>
      <c r="I21" s="610"/>
      <c r="J21" s="610"/>
      <c r="K21" s="610"/>
      <c r="L21" s="610"/>
      <c r="M21" s="610"/>
      <c r="N21" s="610"/>
      <c r="O21" s="610"/>
      <c r="P21" s="610"/>
      <c r="Q21" s="610"/>
      <c r="R21" s="609">
        <v>1</v>
      </c>
      <c r="S21" s="610"/>
      <c r="T21" s="610"/>
    </row>
    <row r="22" spans="1:67" ht="105">
      <c r="A22" s="606" t="s">
        <v>1358</v>
      </c>
      <c r="B22" s="590" t="s">
        <v>131</v>
      </c>
      <c r="C22" s="567" t="s">
        <v>132</v>
      </c>
      <c r="D22" s="555" t="s">
        <v>78</v>
      </c>
      <c r="E22" s="590" t="s">
        <v>133</v>
      </c>
      <c r="F22" s="567" t="s">
        <v>1359</v>
      </c>
      <c r="G22" s="585"/>
      <c r="H22" s="585"/>
      <c r="I22" s="585">
        <v>1</v>
      </c>
      <c r="J22" s="585"/>
      <c r="K22" s="585"/>
      <c r="L22" s="585"/>
      <c r="M22" s="585"/>
      <c r="N22" s="585"/>
      <c r="O22" s="585"/>
      <c r="P22" s="585"/>
      <c r="Q22" s="585"/>
      <c r="R22" s="585">
        <v>1</v>
      </c>
      <c r="S22" s="585"/>
      <c r="T22" s="611"/>
    </row>
    <row r="23" spans="1:67" ht="120" customHeight="1">
      <c r="A23" s="607" t="s">
        <v>1360</v>
      </c>
      <c r="B23" s="612" t="s">
        <v>134</v>
      </c>
      <c r="C23" s="612" t="s">
        <v>135</v>
      </c>
      <c r="D23" s="612" t="s">
        <v>101</v>
      </c>
      <c r="E23" s="612">
        <v>2</v>
      </c>
      <c r="F23" s="613" t="s">
        <v>1361</v>
      </c>
      <c r="G23" s="612"/>
      <c r="H23" s="612"/>
      <c r="I23" s="612"/>
      <c r="J23" s="612"/>
      <c r="K23" s="612"/>
      <c r="L23" s="612"/>
      <c r="M23" s="612"/>
      <c r="N23" s="612"/>
      <c r="O23" s="612"/>
      <c r="P23" s="612">
        <v>1</v>
      </c>
      <c r="Q23" s="612"/>
      <c r="R23" s="612"/>
      <c r="S23" s="612"/>
      <c r="T23" s="612"/>
    </row>
    <row r="24" spans="1:67" s="107" customFormat="1" ht="96.75" customHeight="1">
      <c r="A24" s="567" t="s">
        <v>1362</v>
      </c>
      <c r="B24" s="481" t="s">
        <v>1363</v>
      </c>
      <c r="C24" s="567" t="s">
        <v>117</v>
      </c>
      <c r="D24" s="555" t="s">
        <v>346</v>
      </c>
      <c r="E24" s="585">
        <v>4</v>
      </c>
      <c r="F24" s="567" t="s">
        <v>1364</v>
      </c>
      <c r="G24" s="585"/>
      <c r="H24" s="585"/>
      <c r="I24" s="585">
        <v>1</v>
      </c>
      <c r="J24" s="585"/>
      <c r="K24" s="585"/>
      <c r="L24" s="585">
        <v>1</v>
      </c>
      <c r="M24" s="585"/>
      <c r="N24" s="585"/>
      <c r="O24" s="585">
        <v>1</v>
      </c>
      <c r="P24" s="585"/>
      <c r="Q24" s="585"/>
      <c r="R24" s="585">
        <v>1</v>
      </c>
      <c r="S24" s="586"/>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row>
    <row r="25" spans="1:67">
      <c r="A25"/>
      <c r="C25"/>
      <c r="D25"/>
      <c r="E25"/>
      <c r="T25"/>
    </row>
    <row r="26" spans="1:67">
      <c r="A26"/>
    </row>
    <row r="27" spans="1:67">
      <c r="A27"/>
    </row>
    <row r="28" spans="1:67">
      <c r="A28"/>
    </row>
    <row r="31" spans="1:67" s="27" customFormat="1" ht="14.25">
      <c r="C31" s="64"/>
      <c r="E31" s="47"/>
      <c r="H31" s="65"/>
      <c r="V31" s="65"/>
    </row>
    <row r="32" spans="1:67" s="27" customFormat="1" ht="14.25">
      <c r="A32" s="233"/>
      <c r="B32" s="233"/>
      <c r="C32" s="233"/>
      <c r="E32" s="47"/>
      <c r="G32" s="233"/>
      <c r="H32" s="234"/>
      <c r="I32" s="233"/>
      <c r="J32" s="233"/>
      <c r="K32" s="233"/>
      <c r="L32" s="233"/>
      <c r="P32" s="233"/>
      <c r="Q32" s="233"/>
      <c r="R32" s="233"/>
      <c r="S32" s="233"/>
      <c r="V32" s="65"/>
    </row>
    <row r="33" spans="1:22" s="27" customFormat="1" ht="18">
      <c r="A33" s="651" t="s">
        <v>1341</v>
      </c>
      <c r="B33" s="651"/>
      <c r="C33" s="651"/>
      <c r="D33" s="235"/>
      <c r="E33" s="236"/>
      <c r="F33" s="237"/>
      <c r="G33" s="651" t="s">
        <v>493</v>
      </c>
      <c r="H33" s="651"/>
      <c r="I33" s="651"/>
      <c r="J33" s="651"/>
      <c r="K33" s="651"/>
      <c r="L33" s="651"/>
      <c r="M33" s="235"/>
      <c r="N33" s="235"/>
      <c r="O33" s="651" t="s">
        <v>494</v>
      </c>
      <c r="P33" s="651"/>
      <c r="Q33" s="651"/>
      <c r="R33" s="651"/>
      <c r="S33" s="651"/>
      <c r="T33" s="651"/>
      <c r="U33" s="235"/>
      <c r="V33" s="65"/>
    </row>
    <row r="34" spans="1:22" s="27" customFormat="1">
      <c r="A34" s="647" t="s">
        <v>1342</v>
      </c>
      <c r="B34" s="647"/>
      <c r="C34" s="647"/>
      <c r="D34" s="172"/>
      <c r="E34" s="238"/>
      <c r="F34" s="172"/>
      <c r="G34" s="647" t="s">
        <v>496</v>
      </c>
      <c r="H34" s="647"/>
      <c r="I34" s="647"/>
      <c r="J34" s="647"/>
      <c r="K34" s="647"/>
      <c r="L34" s="647"/>
      <c r="M34" s="172"/>
      <c r="N34" s="172"/>
      <c r="O34" s="647" t="s">
        <v>497</v>
      </c>
      <c r="P34" s="647"/>
      <c r="Q34" s="647"/>
      <c r="R34" s="647"/>
      <c r="S34" s="647"/>
      <c r="T34" s="647"/>
      <c r="U34" s="172"/>
      <c r="V34" s="65"/>
    </row>
    <row r="35" spans="1:22" s="27" customFormat="1" ht="14.25">
      <c r="A35" s="64"/>
      <c r="C35" s="64"/>
      <c r="E35" s="47"/>
      <c r="G35" s="64"/>
      <c r="H35" s="65"/>
      <c r="V35" s="65"/>
    </row>
  </sheetData>
  <mergeCells count="41">
    <mergeCell ref="T14:T15"/>
    <mergeCell ref="A7:T7"/>
    <mergeCell ref="A8:T8"/>
    <mergeCell ref="B10:T10"/>
    <mergeCell ref="B11:T11"/>
    <mergeCell ref="B12:T12"/>
    <mergeCell ref="A14:A15"/>
    <mergeCell ref="B14:B15"/>
    <mergeCell ref="C14:C15"/>
    <mergeCell ref="D14:E14"/>
    <mergeCell ref="F14:F15"/>
    <mergeCell ref="G14:I14"/>
    <mergeCell ref="J14:L14"/>
    <mergeCell ref="M14:O14"/>
    <mergeCell ref="P14:R14"/>
    <mergeCell ref="S14:S15"/>
    <mergeCell ref="H18:H19"/>
    <mergeCell ref="I18:I19"/>
    <mergeCell ref="J18:J19"/>
    <mergeCell ref="K18:K19"/>
    <mergeCell ref="B18:B19"/>
    <mergeCell ref="C18:C19"/>
    <mergeCell ref="D18:D19"/>
    <mergeCell ref="E18:E19"/>
    <mergeCell ref="F18:F19"/>
    <mergeCell ref="A34:C34"/>
    <mergeCell ref="G34:L34"/>
    <mergeCell ref="O34:T34"/>
    <mergeCell ref="Q18:Q19"/>
    <mergeCell ref="R18:R19"/>
    <mergeCell ref="S18:S19"/>
    <mergeCell ref="T18:T19"/>
    <mergeCell ref="A33:C33"/>
    <mergeCell ref="G33:L33"/>
    <mergeCell ref="O33:T33"/>
    <mergeCell ref="L18:L19"/>
    <mergeCell ref="M18:M19"/>
    <mergeCell ref="N18:N19"/>
    <mergeCell ref="O18:O19"/>
    <mergeCell ref="P18:P19"/>
    <mergeCell ref="G18:G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40F62-C268-48BA-8D1A-F991064A22E8}">
  <dimension ref="A8:V46"/>
  <sheetViews>
    <sheetView showGridLines="0" topLeftCell="A16" workbookViewId="0">
      <selection activeCell="A15" sqref="A15:A16"/>
    </sheetView>
  </sheetViews>
  <sheetFormatPr defaultColWidth="11.42578125" defaultRowHeight="15"/>
  <cols>
    <col min="1" max="1" width="35.140625" style="358" customWidth="1"/>
    <col min="2" max="2" width="36.140625" style="358" customWidth="1"/>
    <col min="3" max="3" width="19" customWidth="1"/>
    <col min="4" max="4" width="23.7109375" style="358" customWidth="1"/>
    <col min="5" max="5" width="22.42578125" bestFit="1" customWidth="1"/>
    <col min="6" max="6" width="14.140625" style="405" customWidth="1"/>
    <col min="7" max="7" width="17.7109375" style="151" bestFit="1" customWidth="1"/>
    <col min="8" max="8" width="14.28515625" style="405" customWidth="1"/>
    <col min="9" max="9" width="11.28515625" style="405" bestFit="1" customWidth="1"/>
    <col min="10" max="10" width="14.140625" style="405" bestFit="1" customWidth="1"/>
    <col min="11" max="11" width="14.140625" style="405" customWidth="1"/>
    <col min="12" max="12" width="11.28515625" style="405" bestFit="1" customWidth="1"/>
    <col min="13" max="13" width="12.7109375" style="405" bestFit="1" customWidth="1"/>
    <col min="14" max="14" width="12.7109375" bestFit="1" customWidth="1"/>
    <col min="15" max="15" width="10.140625" bestFit="1" customWidth="1"/>
    <col min="16" max="19" width="15.28515625" customWidth="1"/>
    <col min="20" max="20" width="21.7109375" bestFit="1" customWidth="1"/>
    <col min="21" max="21" width="26.7109375" style="358" customWidth="1"/>
    <col min="22" max="22" width="9.42578125" customWidth="1"/>
    <col min="23" max="23" width="5" customWidth="1"/>
    <col min="24" max="24" width="3.5703125" customWidth="1"/>
    <col min="25" max="25" width="8.7109375" customWidth="1"/>
  </cols>
  <sheetData>
    <row r="8" spans="1:21" ht="21">
      <c r="A8" s="658" t="s">
        <v>60</v>
      </c>
      <c r="B8" s="658"/>
      <c r="C8" s="658"/>
      <c r="D8" s="658"/>
      <c r="E8" s="658"/>
      <c r="F8" s="658"/>
      <c r="G8" s="658"/>
      <c r="H8" s="658"/>
      <c r="I8" s="658"/>
      <c r="J8" s="658"/>
      <c r="K8" s="658"/>
      <c r="L8" s="658"/>
      <c r="M8" s="658"/>
      <c r="N8" s="658"/>
      <c r="O8" s="658"/>
      <c r="P8" s="658"/>
      <c r="Q8" s="658"/>
      <c r="R8" s="658"/>
      <c r="S8" s="658"/>
      <c r="T8" s="658"/>
      <c r="U8" s="658"/>
    </row>
    <row r="9" spans="1:21" ht="21">
      <c r="A9" s="658" t="s">
        <v>136</v>
      </c>
      <c r="B9" s="658"/>
      <c r="C9" s="658"/>
      <c r="D9" s="658"/>
      <c r="E9" s="658"/>
      <c r="F9" s="658"/>
      <c r="G9" s="658"/>
      <c r="H9" s="658"/>
      <c r="I9" s="658"/>
      <c r="J9" s="658"/>
      <c r="K9" s="658"/>
      <c r="L9" s="658"/>
      <c r="M9" s="658"/>
      <c r="N9" s="658"/>
      <c r="O9" s="658"/>
      <c r="P9" s="658"/>
      <c r="Q9" s="658"/>
      <c r="R9" s="658"/>
      <c r="S9" s="658"/>
      <c r="T9" s="658"/>
      <c r="U9" s="658"/>
    </row>
    <row r="10" spans="1:21" ht="21">
      <c r="A10" s="689" t="s">
        <v>137</v>
      </c>
      <c r="B10" s="689"/>
      <c r="C10" s="689"/>
      <c r="D10" s="689"/>
      <c r="E10" s="689"/>
      <c r="F10" s="689"/>
      <c r="G10" s="689"/>
      <c r="H10" s="689"/>
      <c r="I10" s="689"/>
      <c r="J10" s="689"/>
      <c r="K10" s="689"/>
      <c r="L10" s="689"/>
      <c r="M10" s="689"/>
      <c r="N10" s="689"/>
      <c r="O10" s="689"/>
      <c r="P10" s="689"/>
      <c r="Q10" s="689"/>
      <c r="R10" s="689"/>
      <c r="S10" s="689"/>
      <c r="T10" s="689"/>
      <c r="U10" s="689"/>
    </row>
    <row r="11" spans="1:21" ht="21">
      <c r="A11" s="541" t="s">
        <v>62</v>
      </c>
      <c r="B11" s="671" t="s">
        <v>1306</v>
      </c>
      <c r="C11" s="672"/>
      <c r="D11" s="672"/>
      <c r="E11" s="672"/>
      <c r="F11" s="672"/>
      <c r="G11" s="672"/>
      <c r="H11" s="672"/>
      <c r="I11" s="672"/>
      <c r="J11" s="672"/>
      <c r="K11" s="672"/>
      <c r="L11" s="672"/>
      <c r="M11" s="672"/>
      <c r="N11" s="672"/>
      <c r="O11" s="672"/>
      <c r="P11" s="672"/>
      <c r="Q11" s="672"/>
      <c r="R11" s="672"/>
      <c r="S11" s="672"/>
      <c r="T11" s="672"/>
      <c r="U11" s="673"/>
    </row>
    <row r="12" spans="1:21" ht="21">
      <c r="A12" s="541" t="s">
        <v>63</v>
      </c>
      <c r="B12" s="671" t="s">
        <v>114</v>
      </c>
      <c r="C12" s="672"/>
      <c r="D12" s="672"/>
      <c r="E12" s="672"/>
      <c r="F12" s="672"/>
      <c r="G12" s="672"/>
      <c r="H12" s="672"/>
      <c r="I12" s="672"/>
      <c r="J12" s="672"/>
      <c r="K12" s="672"/>
      <c r="L12" s="672"/>
      <c r="M12" s="672"/>
      <c r="N12" s="672"/>
      <c r="O12" s="672"/>
      <c r="P12" s="672"/>
      <c r="Q12" s="672"/>
      <c r="R12" s="672"/>
      <c r="S12" s="672"/>
      <c r="T12" s="672"/>
      <c r="U12" s="673"/>
    </row>
    <row r="13" spans="1:21" ht="20.25" customHeight="1">
      <c r="A13" s="541" t="s">
        <v>65</v>
      </c>
      <c r="B13" s="690" t="s">
        <v>1307</v>
      </c>
      <c r="C13" s="691"/>
      <c r="D13" s="691"/>
      <c r="E13" s="691"/>
      <c r="F13" s="691"/>
      <c r="G13" s="691"/>
      <c r="H13" s="691"/>
      <c r="I13" s="691"/>
      <c r="J13" s="691"/>
      <c r="K13" s="691"/>
      <c r="L13" s="691"/>
      <c r="M13" s="691"/>
      <c r="N13" s="691"/>
      <c r="O13" s="691"/>
      <c r="P13" s="691"/>
      <c r="Q13" s="691"/>
      <c r="R13" s="691"/>
      <c r="S13" s="691"/>
      <c r="T13" s="691"/>
      <c r="U13" s="692"/>
    </row>
    <row r="15" spans="1:21">
      <c r="A15" s="660" t="s">
        <v>66</v>
      </c>
      <c r="B15" s="687" t="s">
        <v>70</v>
      </c>
      <c r="C15" s="687" t="s">
        <v>23</v>
      </c>
      <c r="D15" s="687" t="s">
        <v>139</v>
      </c>
      <c r="E15" s="687" t="s">
        <v>141</v>
      </c>
      <c r="F15" s="687" t="s">
        <v>101</v>
      </c>
      <c r="G15" s="687" t="s">
        <v>142</v>
      </c>
      <c r="H15" s="684" t="s">
        <v>71</v>
      </c>
      <c r="I15" s="685"/>
      <c r="J15" s="686"/>
      <c r="K15" s="684" t="s">
        <v>72</v>
      </c>
      <c r="L15" s="685"/>
      <c r="M15" s="686"/>
      <c r="N15" s="684" t="s">
        <v>73</v>
      </c>
      <c r="O15" s="685"/>
      <c r="P15" s="686"/>
      <c r="Q15" s="684" t="s">
        <v>74</v>
      </c>
      <c r="R15" s="685"/>
      <c r="S15" s="686"/>
      <c r="T15" s="687" t="s">
        <v>75</v>
      </c>
      <c r="U15" s="687" t="s">
        <v>185</v>
      </c>
    </row>
    <row r="16" spans="1:21" s="134" customFormat="1">
      <c r="A16" s="661"/>
      <c r="B16" s="688"/>
      <c r="C16" s="688"/>
      <c r="D16" s="688"/>
      <c r="E16" s="688"/>
      <c r="F16" s="688"/>
      <c r="G16" s="688"/>
      <c r="H16" s="542" t="s">
        <v>79</v>
      </c>
      <c r="I16" s="542" t="s">
        <v>80</v>
      </c>
      <c r="J16" s="542" t="s">
        <v>81</v>
      </c>
      <c r="K16" s="542" t="s">
        <v>82</v>
      </c>
      <c r="L16" s="542" t="s">
        <v>83</v>
      </c>
      <c r="M16" s="542" t="s">
        <v>84</v>
      </c>
      <c r="N16" s="542" t="s">
        <v>85</v>
      </c>
      <c r="O16" s="542" t="s">
        <v>86</v>
      </c>
      <c r="P16" s="542" t="s">
        <v>87</v>
      </c>
      <c r="Q16" s="542" t="s">
        <v>88</v>
      </c>
      <c r="R16" s="542" t="s">
        <v>89</v>
      </c>
      <c r="S16" s="542" t="s">
        <v>90</v>
      </c>
      <c r="T16" s="688"/>
      <c r="U16" s="688"/>
    </row>
    <row r="17" spans="1:21" ht="14.25" customHeight="1">
      <c r="A17" s="693" t="s">
        <v>1308</v>
      </c>
      <c r="B17" s="693" t="s">
        <v>1309</v>
      </c>
      <c r="C17" s="648" t="s">
        <v>144</v>
      </c>
      <c r="D17" s="544" t="s">
        <v>145</v>
      </c>
      <c r="E17" s="545" t="s">
        <v>147</v>
      </c>
      <c r="F17" s="545">
        <v>84</v>
      </c>
      <c r="G17" s="546">
        <v>1000</v>
      </c>
      <c r="H17" s="547">
        <v>14000</v>
      </c>
      <c r="I17" s="547">
        <v>14000</v>
      </c>
      <c r="J17" s="547">
        <v>14000</v>
      </c>
      <c r="K17" s="547">
        <v>14000</v>
      </c>
      <c r="L17" s="547">
        <v>14000</v>
      </c>
      <c r="M17" s="547">
        <v>14000</v>
      </c>
      <c r="N17" s="548"/>
      <c r="O17" s="548"/>
      <c r="P17" s="548"/>
      <c r="Q17" s="548"/>
      <c r="R17" s="548"/>
      <c r="S17" s="548"/>
      <c r="T17" s="547">
        <f t="shared" ref="T17:T32" si="0">SUM(H17:S17)</f>
        <v>84000</v>
      </c>
      <c r="U17" s="549"/>
    </row>
    <row r="18" spans="1:21">
      <c r="A18" s="694"/>
      <c r="B18" s="694"/>
      <c r="C18" s="649"/>
      <c r="D18" s="544" t="s">
        <v>148</v>
      </c>
      <c r="E18" s="545" t="s">
        <v>150</v>
      </c>
      <c r="F18" s="545">
        <v>84</v>
      </c>
      <c r="G18" s="546">
        <v>300</v>
      </c>
      <c r="H18" s="547">
        <f t="shared" ref="H18:M18" si="1">14*300</f>
        <v>4200</v>
      </c>
      <c r="I18" s="547">
        <f t="shared" si="1"/>
        <v>4200</v>
      </c>
      <c r="J18" s="547">
        <f t="shared" si="1"/>
        <v>4200</v>
      </c>
      <c r="K18" s="547">
        <f t="shared" si="1"/>
        <v>4200</v>
      </c>
      <c r="L18" s="547">
        <f t="shared" si="1"/>
        <v>4200</v>
      </c>
      <c r="M18" s="547">
        <f t="shared" si="1"/>
        <v>4200</v>
      </c>
      <c r="N18" s="548"/>
      <c r="O18" s="548"/>
      <c r="P18" s="548"/>
      <c r="Q18" s="548"/>
      <c r="R18" s="548"/>
      <c r="S18" s="548"/>
      <c r="T18" s="547">
        <f t="shared" si="0"/>
        <v>25200</v>
      </c>
      <c r="U18" s="549"/>
    </row>
    <row r="19" spans="1:21">
      <c r="A19" s="695"/>
      <c r="B19" s="695"/>
      <c r="C19" s="650"/>
      <c r="D19" s="544" t="s">
        <v>151</v>
      </c>
      <c r="E19" s="545" t="s">
        <v>150</v>
      </c>
      <c r="F19" s="545">
        <v>84</v>
      </c>
      <c r="G19" s="546">
        <v>5</v>
      </c>
      <c r="H19" s="547">
        <f t="shared" ref="H19:M19" si="2">5*84</f>
        <v>420</v>
      </c>
      <c r="I19" s="547">
        <f t="shared" si="2"/>
        <v>420</v>
      </c>
      <c r="J19" s="547">
        <f t="shared" si="2"/>
        <v>420</v>
      </c>
      <c r="K19" s="547">
        <f t="shared" si="2"/>
        <v>420</v>
      </c>
      <c r="L19" s="547">
        <f t="shared" si="2"/>
        <v>420</v>
      </c>
      <c r="M19" s="547">
        <f t="shared" si="2"/>
        <v>420</v>
      </c>
      <c r="N19" s="548"/>
      <c r="O19" s="548"/>
      <c r="P19" s="548"/>
      <c r="Q19" s="548"/>
      <c r="R19" s="548"/>
      <c r="S19" s="548"/>
      <c r="T19" s="547">
        <f t="shared" si="0"/>
        <v>2520</v>
      </c>
      <c r="U19" s="549"/>
    </row>
    <row r="20" spans="1:21" ht="14.25" customHeight="1">
      <c r="A20" s="552" t="s">
        <v>1310</v>
      </c>
      <c r="B20" s="552" t="s">
        <v>1311</v>
      </c>
      <c r="C20" s="553" t="s">
        <v>1312</v>
      </c>
      <c r="D20" s="554" t="s">
        <v>125</v>
      </c>
      <c r="E20" s="555" t="s">
        <v>78</v>
      </c>
      <c r="F20" s="555">
        <v>3</v>
      </c>
      <c r="G20" s="556">
        <f>30000*68</f>
        <v>2040000</v>
      </c>
      <c r="H20" s="557"/>
      <c r="I20" s="557"/>
      <c r="J20" s="557"/>
      <c r="K20" s="557"/>
      <c r="L20" s="557"/>
      <c r="M20" s="557"/>
      <c r="N20" s="558">
        <f>G20</f>
        <v>2040000</v>
      </c>
      <c r="O20" s="558"/>
      <c r="P20" s="558"/>
      <c r="Q20" s="558"/>
      <c r="R20" s="558"/>
      <c r="S20" s="558"/>
      <c r="T20" s="557">
        <f t="shared" si="0"/>
        <v>2040000</v>
      </c>
      <c r="U20" s="559"/>
    </row>
    <row r="21" spans="1:21" ht="45">
      <c r="A21" s="560" t="s">
        <v>1313</v>
      </c>
      <c r="B21" s="560" t="s">
        <v>1314</v>
      </c>
      <c r="C21" s="561" t="s">
        <v>874</v>
      </c>
      <c r="D21" s="561" t="s">
        <v>1315</v>
      </c>
      <c r="E21" s="562" t="s">
        <v>78</v>
      </c>
      <c r="F21" s="562"/>
      <c r="G21" s="563">
        <f>15000*68</f>
        <v>1020000</v>
      </c>
      <c r="H21" s="564"/>
      <c r="I21" s="564"/>
      <c r="J21" s="564"/>
      <c r="K21" s="564"/>
      <c r="L21" s="564"/>
      <c r="M21" s="564">
        <f>G21</f>
        <v>1020000</v>
      </c>
      <c r="N21" s="565"/>
      <c r="O21" s="565"/>
      <c r="P21" s="565"/>
      <c r="Q21" s="565"/>
      <c r="R21" s="565"/>
      <c r="S21" s="565"/>
      <c r="T21" s="564">
        <f>SUM(H21:S21)</f>
        <v>1020000</v>
      </c>
      <c r="U21" s="549"/>
    </row>
    <row r="22" spans="1:21" ht="45">
      <c r="A22" s="676" t="s">
        <v>1316</v>
      </c>
      <c r="B22" s="676" t="s">
        <v>1317</v>
      </c>
      <c r="C22" s="566" t="s">
        <v>144</v>
      </c>
      <c r="D22" s="554" t="s">
        <v>145</v>
      </c>
      <c r="E22" s="555" t="s">
        <v>147</v>
      </c>
      <c r="F22" s="555">
        <v>25</v>
      </c>
      <c r="G22" s="556">
        <v>1000</v>
      </c>
      <c r="H22" s="557">
        <v>25000</v>
      </c>
      <c r="I22" s="557"/>
      <c r="J22" s="557"/>
      <c r="K22" s="557"/>
      <c r="L22" s="557"/>
      <c r="M22" s="557"/>
      <c r="N22" s="557"/>
      <c r="O22" s="557"/>
      <c r="P22" s="557"/>
      <c r="Q22" s="557"/>
      <c r="R22" s="557"/>
      <c r="S22" s="557"/>
      <c r="T22" s="557">
        <f t="shared" si="0"/>
        <v>25000</v>
      </c>
      <c r="U22" s="566" t="s">
        <v>1318</v>
      </c>
    </row>
    <row r="23" spans="1:21" ht="45">
      <c r="A23" s="677"/>
      <c r="B23" s="677"/>
      <c r="C23" s="566" t="s">
        <v>144</v>
      </c>
      <c r="D23" s="554" t="s">
        <v>148</v>
      </c>
      <c r="E23" s="555" t="s">
        <v>150</v>
      </c>
      <c r="F23" s="555">
        <v>25</v>
      </c>
      <c r="G23" s="556">
        <v>300</v>
      </c>
      <c r="H23" s="556">
        <v>7500</v>
      </c>
      <c r="I23" s="557"/>
      <c r="J23" s="557"/>
      <c r="K23" s="557"/>
      <c r="L23" s="557"/>
      <c r="M23" s="557"/>
      <c r="N23" s="557"/>
      <c r="O23" s="557"/>
      <c r="P23" s="557"/>
      <c r="Q23" s="557"/>
      <c r="R23" s="557"/>
      <c r="S23" s="557"/>
      <c r="T23" s="557">
        <f t="shared" si="0"/>
        <v>7500</v>
      </c>
      <c r="U23" s="566"/>
    </row>
    <row r="24" spans="1:21" ht="45">
      <c r="A24" s="677"/>
      <c r="B24" s="678"/>
      <c r="C24" s="566" t="s">
        <v>144</v>
      </c>
      <c r="D24" s="554" t="s">
        <v>151</v>
      </c>
      <c r="E24" s="555" t="s">
        <v>150</v>
      </c>
      <c r="F24" s="555">
        <v>25</v>
      </c>
      <c r="G24" s="556">
        <v>5</v>
      </c>
      <c r="H24" s="556">
        <v>125</v>
      </c>
      <c r="I24" s="557"/>
      <c r="J24" s="557"/>
      <c r="K24" s="557"/>
      <c r="L24" s="557"/>
      <c r="M24" s="557"/>
      <c r="N24" s="557"/>
      <c r="O24" s="557"/>
      <c r="P24" s="557"/>
      <c r="Q24" s="557"/>
      <c r="R24" s="557"/>
      <c r="S24" s="557"/>
      <c r="T24" s="557">
        <f t="shared" si="0"/>
        <v>125</v>
      </c>
      <c r="U24" s="566"/>
    </row>
    <row r="25" spans="1:21" ht="45">
      <c r="A25" s="677"/>
      <c r="B25" s="567" t="s">
        <v>1319</v>
      </c>
      <c r="C25" s="566" t="s">
        <v>144</v>
      </c>
      <c r="D25" s="554" t="s">
        <v>1320</v>
      </c>
      <c r="E25" s="555" t="s">
        <v>1321</v>
      </c>
      <c r="F25" s="555">
        <v>5</v>
      </c>
      <c r="G25" s="556">
        <v>60000</v>
      </c>
      <c r="H25" s="557">
        <v>300000</v>
      </c>
      <c r="I25" s="557"/>
      <c r="J25" s="557"/>
      <c r="K25" s="557"/>
      <c r="L25" s="557"/>
      <c r="M25" s="557"/>
      <c r="N25" s="557"/>
      <c r="O25" s="557"/>
      <c r="P25" s="557"/>
      <c r="Q25" s="557"/>
      <c r="R25" s="557"/>
      <c r="S25" s="557"/>
      <c r="T25" s="557">
        <f t="shared" si="0"/>
        <v>300000</v>
      </c>
      <c r="U25" s="566" t="s">
        <v>1322</v>
      </c>
    </row>
    <row r="26" spans="1:21" s="127" customFormat="1" ht="45">
      <c r="A26" s="678"/>
      <c r="B26" s="567" t="s">
        <v>1323</v>
      </c>
      <c r="C26" s="554" t="s">
        <v>144</v>
      </c>
      <c r="D26" s="554" t="s">
        <v>1324</v>
      </c>
      <c r="E26" s="555" t="s">
        <v>147</v>
      </c>
      <c r="F26" s="555">
        <v>36</v>
      </c>
      <c r="G26" s="556">
        <v>1000</v>
      </c>
      <c r="H26" s="557"/>
      <c r="I26" s="557">
        <v>6000</v>
      </c>
      <c r="J26" s="557"/>
      <c r="K26" s="557">
        <v>6000</v>
      </c>
      <c r="L26" s="557"/>
      <c r="M26" s="557">
        <v>6000</v>
      </c>
      <c r="N26" s="557"/>
      <c r="O26" s="557">
        <v>6000</v>
      </c>
      <c r="P26" s="557"/>
      <c r="Q26" s="557">
        <v>6000</v>
      </c>
      <c r="R26" s="557"/>
      <c r="S26" s="557">
        <v>6000</v>
      </c>
      <c r="T26" s="557">
        <f t="shared" si="0"/>
        <v>36000</v>
      </c>
      <c r="U26" s="554"/>
    </row>
    <row r="27" spans="1:21" ht="60">
      <c r="A27" s="543" t="s">
        <v>1325</v>
      </c>
      <c r="B27" s="560" t="s">
        <v>1326</v>
      </c>
      <c r="C27" s="561" t="s">
        <v>144</v>
      </c>
      <c r="D27" s="561" t="s">
        <v>1327</v>
      </c>
      <c r="E27" s="562" t="s">
        <v>1328</v>
      </c>
      <c r="F27" s="562">
        <v>2</v>
      </c>
      <c r="G27" s="563">
        <v>175000</v>
      </c>
      <c r="H27" s="564"/>
      <c r="I27" s="564"/>
      <c r="J27" s="564"/>
      <c r="K27" s="564"/>
      <c r="L27" s="564"/>
      <c r="M27" s="563">
        <v>175000</v>
      </c>
      <c r="N27" s="564"/>
      <c r="O27" s="564"/>
      <c r="P27" s="564"/>
      <c r="Q27" s="564"/>
      <c r="R27" s="564"/>
      <c r="S27" s="563">
        <v>175000</v>
      </c>
      <c r="T27" s="564">
        <f t="shared" si="0"/>
        <v>350000</v>
      </c>
      <c r="U27" s="561" t="s">
        <v>1329</v>
      </c>
    </row>
    <row r="28" spans="1:21">
      <c r="A28" s="676" t="s">
        <v>1330</v>
      </c>
      <c r="B28" s="676" t="s">
        <v>1331</v>
      </c>
      <c r="C28" s="679" t="s">
        <v>144</v>
      </c>
      <c r="D28" s="566" t="s">
        <v>145</v>
      </c>
      <c r="E28" s="568" t="s">
        <v>147</v>
      </c>
      <c r="F28" s="568">
        <v>40</v>
      </c>
      <c r="G28" s="569">
        <v>1000</v>
      </c>
      <c r="H28" s="570"/>
      <c r="I28" s="570"/>
      <c r="J28" s="570"/>
      <c r="K28" s="570">
        <v>40000</v>
      </c>
      <c r="L28" s="570"/>
      <c r="M28" s="570"/>
      <c r="N28" s="571"/>
      <c r="O28" s="571"/>
      <c r="P28" s="571"/>
      <c r="Q28" s="571"/>
      <c r="R28" s="571"/>
      <c r="S28" s="571"/>
      <c r="T28" s="570">
        <f t="shared" si="0"/>
        <v>40000</v>
      </c>
      <c r="U28" s="559"/>
    </row>
    <row r="29" spans="1:21">
      <c r="A29" s="677"/>
      <c r="B29" s="677"/>
      <c r="C29" s="680"/>
      <c r="D29" s="566" t="s">
        <v>148</v>
      </c>
      <c r="E29" s="568" t="s">
        <v>150</v>
      </c>
      <c r="F29" s="568">
        <v>40</v>
      </c>
      <c r="G29" s="569">
        <v>300</v>
      </c>
      <c r="H29" s="570"/>
      <c r="I29" s="570"/>
      <c r="J29" s="570"/>
      <c r="K29" s="570">
        <v>12000</v>
      </c>
      <c r="L29" s="570"/>
      <c r="M29" s="570"/>
      <c r="N29" s="571"/>
      <c r="O29" s="571"/>
      <c r="P29" s="571"/>
      <c r="Q29" s="571"/>
      <c r="R29" s="571"/>
      <c r="S29" s="571"/>
      <c r="T29" s="570">
        <f t="shared" si="0"/>
        <v>12000</v>
      </c>
      <c r="U29" s="559"/>
    </row>
    <row r="30" spans="1:21">
      <c r="A30" s="678"/>
      <c r="B30" s="678"/>
      <c r="C30" s="681"/>
      <c r="D30" s="566" t="s">
        <v>151</v>
      </c>
      <c r="E30" s="568" t="s">
        <v>150</v>
      </c>
      <c r="F30" s="568">
        <v>40</v>
      </c>
      <c r="G30" s="569">
        <v>5</v>
      </c>
      <c r="H30" s="570"/>
      <c r="I30" s="570"/>
      <c r="J30" s="570"/>
      <c r="K30" s="570">
        <v>200</v>
      </c>
      <c r="L30" s="570"/>
      <c r="M30" s="570"/>
      <c r="N30" s="571"/>
      <c r="O30" s="571"/>
      <c r="P30" s="571"/>
      <c r="Q30" s="571"/>
      <c r="R30" s="571"/>
      <c r="S30" s="571"/>
      <c r="T30" s="570">
        <f t="shared" si="0"/>
        <v>200</v>
      </c>
      <c r="U30" s="559"/>
    </row>
    <row r="31" spans="1:21" s="127" customFormat="1" ht="30">
      <c r="A31" s="682" t="s">
        <v>1332</v>
      </c>
      <c r="B31" s="560" t="s">
        <v>1333</v>
      </c>
      <c r="C31" s="648" t="s">
        <v>1312</v>
      </c>
      <c r="D31" s="572" t="s">
        <v>1334</v>
      </c>
      <c r="E31" s="572" t="s">
        <v>150</v>
      </c>
      <c r="F31" s="562">
        <v>1</v>
      </c>
      <c r="G31" s="563">
        <f>25000*68</f>
        <v>1700000</v>
      </c>
      <c r="H31" s="564"/>
      <c r="I31" s="564"/>
      <c r="J31" s="564">
        <f>F31*G31</f>
        <v>1700000</v>
      </c>
      <c r="K31" s="564"/>
      <c r="L31" s="564"/>
      <c r="M31" s="564"/>
      <c r="N31" s="565"/>
      <c r="O31" s="565"/>
      <c r="P31" s="565"/>
      <c r="Q31" s="565"/>
      <c r="R31" s="565"/>
      <c r="S31" s="565"/>
      <c r="T31" s="564">
        <f t="shared" si="0"/>
        <v>1700000</v>
      </c>
      <c r="U31" s="573"/>
    </row>
    <row r="32" spans="1:21" s="127" customFormat="1" ht="30">
      <c r="A32" s="683"/>
      <c r="B32" s="560" t="s">
        <v>1335</v>
      </c>
      <c r="C32" s="650"/>
      <c r="D32" s="572" t="s">
        <v>125</v>
      </c>
      <c r="E32" s="572" t="s">
        <v>78</v>
      </c>
      <c r="F32" s="562">
        <v>5</v>
      </c>
      <c r="G32" s="563">
        <f>33482.14*68</f>
        <v>2276785.52</v>
      </c>
      <c r="H32" s="564"/>
      <c r="I32" s="564"/>
      <c r="J32" s="564"/>
      <c r="K32" s="564"/>
      <c r="L32" s="564"/>
      <c r="M32" s="564"/>
      <c r="N32" s="565"/>
      <c r="O32" s="565"/>
      <c r="P32" s="565">
        <f>G32</f>
        <v>2276785.52</v>
      </c>
      <c r="Q32" s="565"/>
      <c r="R32" s="565"/>
      <c r="S32" s="565"/>
      <c r="T32" s="564">
        <f t="shared" si="0"/>
        <v>2276785.52</v>
      </c>
      <c r="U32" s="573"/>
    </row>
    <row r="33" spans="1:22" s="574" customFormat="1" ht="30">
      <c r="A33" s="567" t="s">
        <v>1336</v>
      </c>
      <c r="B33" s="567" t="s">
        <v>1337</v>
      </c>
      <c r="C33" s="554" t="s">
        <v>1338</v>
      </c>
      <c r="D33" s="554" t="s">
        <v>1339</v>
      </c>
      <c r="E33" s="555" t="s">
        <v>1340</v>
      </c>
      <c r="F33" s="555">
        <v>1</v>
      </c>
      <c r="G33" s="556"/>
      <c r="H33" s="557"/>
      <c r="I33" s="557">
        <f>+'[1]1- Análisis POA Eje 3'!S23*0.2</f>
        <v>171000</v>
      </c>
      <c r="J33" s="557">
        <f>+'[1]1- Análisis POA Eje 3'!S23*0.2</f>
        <v>171000</v>
      </c>
      <c r="K33" s="557"/>
      <c r="L33" s="557">
        <f>+'[1]1- Análisis POA Eje 3'!S23*0.3</f>
        <v>256500</v>
      </c>
      <c r="M33" s="557">
        <f>+'[1]1- Análisis POA Eje 3'!S23*0.3</f>
        <v>256500</v>
      </c>
      <c r="N33" s="558"/>
      <c r="O33" s="558"/>
      <c r="P33" s="558"/>
      <c r="Q33" s="558"/>
      <c r="R33" s="558"/>
      <c r="S33" s="558"/>
      <c r="T33" s="557">
        <f>+I33+J33+L33+M33</f>
        <v>855000</v>
      </c>
      <c r="U33" s="559"/>
    </row>
    <row r="34" spans="1:22">
      <c r="A34" s="675" t="s">
        <v>13</v>
      </c>
      <c r="B34" s="675"/>
      <c r="C34" s="675"/>
      <c r="D34" s="675"/>
      <c r="E34" s="675"/>
      <c r="F34" s="675"/>
      <c r="G34" s="675"/>
      <c r="H34" s="575">
        <f>SUM(H17:H31)</f>
        <v>351245</v>
      </c>
      <c r="I34" s="575">
        <f>SUM(I17:I31)</f>
        <v>24620</v>
      </c>
      <c r="J34" s="575">
        <f>SUM(J17:J31)</f>
        <v>1718620</v>
      </c>
      <c r="K34" s="575">
        <f>SUM(K17:K31)</f>
        <v>76820</v>
      </c>
      <c r="L34" s="575">
        <f>SUM(L17:L31)</f>
        <v>18620</v>
      </c>
      <c r="M34" s="575">
        <f>SUM(M17:M32)</f>
        <v>1219620</v>
      </c>
      <c r="N34" s="576">
        <f>SUM(N17:N32)</f>
        <v>2040000</v>
      </c>
      <c r="O34" s="575">
        <f>SUM(O17:O31)</f>
        <v>6000</v>
      </c>
      <c r="P34" s="576">
        <f>SUM(P17:P32)</f>
        <v>2276785.52</v>
      </c>
      <c r="Q34" s="575">
        <f>SUM(Q17:Q31)</f>
        <v>6000</v>
      </c>
      <c r="R34" s="577">
        <v>0</v>
      </c>
      <c r="S34" s="575">
        <f>SUM(S17:S31)</f>
        <v>181000</v>
      </c>
      <c r="T34" s="575">
        <f>SUM(T17:T33)</f>
        <v>8774330.5199999996</v>
      </c>
      <c r="U34" s="578"/>
    </row>
    <row r="42" spans="1:22" s="27" customFormat="1" ht="14.25">
      <c r="C42" s="64"/>
      <c r="E42" s="47"/>
      <c r="H42" s="65"/>
      <c r="V42" s="65"/>
    </row>
    <row r="43" spans="1:22" s="27" customFormat="1" ht="14.25">
      <c r="A43" s="233"/>
      <c r="B43" s="233"/>
      <c r="C43" s="233"/>
      <c r="E43" s="47"/>
      <c r="G43" s="233"/>
      <c r="H43" s="234"/>
      <c r="I43" s="233"/>
      <c r="J43" s="233"/>
      <c r="K43" s="233"/>
      <c r="L43" s="233"/>
      <c r="P43" s="233"/>
      <c r="Q43" s="233"/>
      <c r="R43" s="233"/>
      <c r="S43" s="233"/>
      <c r="V43" s="65"/>
    </row>
    <row r="44" spans="1:22" s="27" customFormat="1" ht="18">
      <c r="A44" s="651" t="s">
        <v>1341</v>
      </c>
      <c r="B44" s="651"/>
      <c r="C44" s="651"/>
      <c r="D44" s="235"/>
      <c r="E44" s="236"/>
      <c r="F44" s="237"/>
      <c r="G44" s="651" t="s">
        <v>493</v>
      </c>
      <c r="H44" s="651"/>
      <c r="I44" s="651"/>
      <c r="J44" s="651"/>
      <c r="K44" s="651"/>
      <c r="L44" s="651"/>
      <c r="M44" s="235"/>
      <c r="N44" s="235"/>
      <c r="O44" s="651" t="s">
        <v>494</v>
      </c>
      <c r="P44" s="651"/>
      <c r="Q44" s="651"/>
      <c r="R44" s="651"/>
      <c r="S44" s="651"/>
      <c r="T44" s="651"/>
      <c r="U44" s="235"/>
      <c r="V44" s="65"/>
    </row>
    <row r="45" spans="1:22" s="27" customFormat="1">
      <c r="A45" s="647" t="s">
        <v>1342</v>
      </c>
      <c r="B45" s="647"/>
      <c r="C45" s="647"/>
      <c r="D45" s="172"/>
      <c r="E45" s="238"/>
      <c r="F45" s="172"/>
      <c r="G45" s="647" t="s">
        <v>496</v>
      </c>
      <c r="H45" s="647"/>
      <c r="I45" s="647"/>
      <c r="J45" s="647"/>
      <c r="K45" s="647"/>
      <c r="L45" s="647"/>
      <c r="M45" s="172"/>
      <c r="N45" s="172"/>
      <c r="O45" s="647" t="s">
        <v>497</v>
      </c>
      <c r="P45" s="647"/>
      <c r="Q45" s="647"/>
      <c r="R45" s="647"/>
      <c r="S45" s="647"/>
      <c r="T45" s="647"/>
      <c r="U45" s="172"/>
      <c r="V45" s="65"/>
    </row>
    <row r="46" spans="1:22" s="27" customFormat="1" ht="14.25">
      <c r="A46" s="64"/>
      <c r="C46" s="64"/>
      <c r="E46" s="47"/>
      <c r="G46" s="64"/>
      <c r="H46" s="65"/>
      <c r="V46" s="65"/>
    </row>
  </sheetData>
  <mergeCells count="36">
    <mergeCell ref="U15:U16"/>
    <mergeCell ref="A8:U8"/>
    <mergeCell ref="A9:U9"/>
    <mergeCell ref="A10:U10"/>
    <mergeCell ref="B11:U11"/>
    <mergeCell ref="B12:U12"/>
    <mergeCell ref="B13:U13"/>
    <mergeCell ref="H15:J15"/>
    <mergeCell ref="K15:M15"/>
    <mergeCell ref="G15:G16"/>
    <mergeCell ref="A15:A16"/>
    <mergeCell ref="B15:B16"/>
    <mergeCell ref="C15:C16"/>
    <mergeCell ref="D15:D16"/>
    <mergeCell ref="E15:E16"/>
    <mergeCell ref="F15:F16"/>
    <mergeCell ref="N15:P15"/>
    <mergeCell ref="Q15:S15"/>
    <mergeCell ref="T15:T16"/>
    <mergeCell ref="A22:A26"/>
    <mergeCell ref="B22:B24"/>
    <mergeCell ref="A17:A19"/>
    <mergeCell ref="B17:B19"/>
    <mergeCell ref="C17:C19"/>
    <mergeCell ref="A28:A30"/>
    <mergeCell ref="B28:B30"/>
    <mergeCell ref="C28:C30"/>
    <mergeCell ref="A31:A32"/>
    <mergeCell ref="C31:C32"/>
    <mergeCell ref="A34:G34"/>
    <mergeCell ref="A44:C44"/>
    <mergeCell ref="G44:L44"/>
    <mergeCell ref="O44:T44"/>
    <mergeCell ref="A45:C45"/>
    <mergeCell ref="G45:L45"/>
    <mergeCell ref="O45:T4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E160-864A-455C-ACE1-3FDD30A9C720}">
  <dimension ref="A7:AR20"/>
  <sheetViews>
    <sheetView showGridLines="0" workbookViewId="0">
      <selection activeCell="A15" sqref="A15:A16"/>
    </sheetView>
  </sheetViews>
  <sheetFormatPr defaultColWidth="11.42578125" defaultRowHeight="14.25"/>
  <cols>
    <col min="1" max="1" width="45.7109375" style="27" customWidth="1"/>
    <col min="2" max="2" width="21.85546875" style="27" customWidth="1"/>
    <col min="3" max="3" width="17.5703125" style="64" customWidth="1"/>
    <col min="4" max="4" width="17.5703125" style="27" bestFit="1" customWidth="1"/>
    <col min="5" max="5" width="11.42578125" style="27" bestFit="1"/>
    <col min="6" max="6" width="21.85546875" style="27" customWidth="1"/>
    <col min="7" max="7" width="7.42578125" style="27" customWidth="1"/>
    <col min="8" max="8" width="9.7109375" style="27" customWidth="1"/>
    <col min="9" max="9" width="7.5703125" style="27" customWidth="1"/>
    <col min="10" max="10" width="6.5703125" style="27" customWidth="1"/>
    <col min="11" max="12" width="11.28515625" style="27" bestFit="1" customWidth="1"/>
    <col min="13" max="13" width="8.140625" style="27" bestFit="1" customWidth="1"/>
    <col min="14" max="14" width="9.85546875" style="27" customWidth="1"/>
    <col min="15" max="15" width="15.85546875" style="27" customWidth="1"/>
    <col min="16" max="16" width="10.42578125" style="27" customWidth="1"/>
    <col min="17" max="17" width="13.140625" style="27" customWidth="1"/>
    <col min="18" max="18" width="14.5703125" style="27" customWidth="1"/>
    <col min="19" max="20" width="17.28515625" style="27" bestFit="1" customWidth="1"/>
    <col min="21" max="21" width="11.42578125" style="27"/>
    <col min="22" max="24" width="0" style="27" hidden="1" customWidth="1"/>
    <col min="25" max="25" width="12.5703125" style="27" hidden="1" customWidth="1"/>
    <col min="26" max="26" width="16.7109375" style="27" hidden="1" customWidth="1"/>
    <col min="27" max="27" width="8.140625" style="27" hidden="1" customWidth="1"/>
    <col min="28" max="29" width="0" style="27" hidden="1" customWidth="1"/>
    <col min="30" max="30" width="12.5703125" style="27" hidden="1" customWidth="1"/>
    <col min="31" max="31" width="16.7109375" style="27" hidden="1" customWidth="1"/>
    <col min="32" max="34" width="0" style="27" hidden="1" customWidth="1"/>
    <col min="35" max="35" width="12.5703125" style="27" hidden="1" customWidth="1"/>
    <col min="36" max="36" width="16.7109375" style="27" hidden="1" customWidth="1"/>
    <col min="37" max="39" width="0" style="27" hidden="1" customWidth="1"/>
    <col min="40" max="40" width="12.5703125" style="27" hidden="1" customWidth="1"/>
    <col min="41" max="44" width="16.7109375" style="27" hidden="1" customWidth="1"/>
    <col min="45" max="166" width="0" style="27" hidden="1" customWidth="1"/>
    <col min="167" max="16384" width="11.42578125" style="27"/>
  </cols>
  <sheetData>
    <row r="7" spans="1:41" ht="20.25">
      <c r="A7" s="698" t="s">
        <v>60</v>
      </c>
      <c r="B7" s="698"/>
      <c r="C7" s="698"/>
      <c r="D7" s="698"/>
      <c r="E7" s="698"/>
      <c r="F7" s="698"/>
      <c r="G7" s="698"/>
      <c r="H7" s="698"/>
      <c r="I7" s="698"/>
      <c r="J7" s="698"/>
      <c r="K7" s="698"/>
      <c r="L7" s="698"/>
      <c r="M7" s="698"/>
      <c r="N7" s="698"/>
      <c r="O7" s="698"/>
      <c r="P7" s="698"/>
      <c r="Q7" s="698"/>
      <c r="R7" s="698"/>
      <c r="S7" s="698"/>
      <c r="T7" s="698"/>
    </row>
    <row r="8" spans="1:41" ht="20.25">
      <c r="A8" s="698" t="s">
        <v>61</v>
      </c>
      <c r="B8" s="698"/>
      <c r="C8" s="698"/>
      <c r="D8" s="698"/>
      <c r="E8" s="698"/>
      <c r="F8" s="698"/>
      <c r="G8" s="698"/>
      <c r="H8" s="698"/>
      <c r="I8" s="698"/>
      <c r="J8" s="698"/>
      <c r="K8" s="698"/>
      <c r="L8" s="698"/>
      <c r="M8" s="698"/>
      <c r="N8" s="698"/>
      <c r="O8" s="698"/>
      <c r="P8" s="698"/>
      <c r="Q8" s="698"/>
      <c r="R8" s="698"/>
      <c r="S8" s="698"/>
      <c r="T8" s="698"/>
    </row>
    <row r="9" spans="1:41" ht="20.25">
      <c r="A9" s="49"/>
      <c r="B9" s="49"/>
      <c r="C9" s="48"/>
      <c r="D9" s="49"/>
      <c r="E9" s="49"/>
      <c r="F9" s="49"/>
      <c r="G9" s="49"/>
      <c r="H9" s="49"/>
      <c r="I9" s="49"/>
      <c r="J9" s="49"/>
      <c r="K9" s="49"/>
      <c r="L9" s="49"/>
      <c r="M9" s="49"/>
      <c r="N9" s="49"/>
      <c r="O9" s="49"/>
      <c r="P9" s="49"/>
      <c r="Q9" s="49"/>
      <c r="R9" s="49"/>
      <c r="S9" s="49"/>
      <c r="T9" s="49"/>
    </row>
    <row r="10" spans="1:41" ht="20.25">
      <c r="A10" s="79" t="s">
        <v>62</v>
      </c>
      <c r="B10" s="699" t="s">
        <v>154</v>
      </c>
      <c r="C10" s="699"/>
      <c r="D10" s="699"/>
      <c r="E10" s="699"/>
      <c r="F10" s="699"/>
      <c r="G10" s="699"/>
      <c r="H10" s="699"/>
      <c r="I10" s="699"/>
      <c r="J10" s="699"/>
      <c r="K10" s="699"/>
      <c r="L10" s="699"/>
      <c r="M10" s="699"/>
      <c r="N10" s="699"/>
      <c r="O10" s="699"/>
      <c r="P10" s="699"/>
      <c r="Q10" s="699"/>
      <c r="R10" s="699"/>
      <c r="S10" s="699"/>
      <c r="T10" s="699"/>
    </row>
    <row r="11" spans="1:41" ht="20.25">
      <c r="A11" s="79" t="s">
        <v>63</v>
      </c>
      <c r="B11" s="700" t="s">
        <v>155</v>
      </c>
      <c r="C11" s="701"/>
      <c r="D11" s="701"/>
      <c r="E11" s="701"/>
      <c r="F11" s="701"/>
      <c r="G11" s="701"/>
      <c r="H11" s="701"/>
      <c r="I11" s="701"/>
      <c r="J11" s="701"/>
      <c r="K11" s="701"/>
      <c r="L11" s="701"/>
      <c r="M11" s="701"/>
      <c r="N11" s="701"/>
      <c r="O11" s="701"/>
      <c r="P11" s="701"/>
      <c r="Q11" s="701"/>
      <c r="R11" s="701"/>
      <c r="S11" s="701"/>
      <c r="T11" s="702"/>
    </row>
    <row r="12" spans="1:41" ht="20.25">
      <c r="A12" s="79" t="s">
        <v>65</v>
      </c>
      <c r="B12" s="703" t="s">
        <v>156</v>
      </c>
      <c r="C12" s="704"/>
      <c r="D12" s="704"/>
      <c r="E12" s="704"/>
      <c r="F12" s="704"/>
      <c r="G12" s="704"/>
      <c r="H12" s="704"/>
      <c r="I12" s="704"/>
      <c r="J12" s="704"/>
      <c r="K12" s="704"/>
      <c r="L12" s="704"/>
      <c r="M12" s="704"/>
      <c r="N12" s="704"/>
      <c r="O12" s="704"/>
      <c r="P12" s="704"/>
      <c r="Q12" s="704"/>
      <c r="R12" s="704"/>
      <c r="S12" s="704"/>
      <c r="T12" s="705"/>
    </row>
    <row r="13" spans="1:41" ht="20.25">
      <c r="A13" s="80" t="s">
        <v>157</v>
      </c>
      <c r="B13" s="699" t="s">
        <v>158</v>
      </c>
      <c r="C13" s="699"/>
      <c r="D13" s="699"/>
      <c r="E13" s="699"/>
      <c r="F13" s="699"/>
      <c r="G13" s="699"/>
      <c r="H13" s="699"/>
      <c r="I13" s="699"/>
      <c r="J13" s="699"/>
      <c r="K13" s="699"/>
      <c r="L13" s="699"/>
      <c r="M13" s="699"/>
      <c r="N13" s="699"/>
      <c r="O13" s="699"/>
      <c r="P13" s="699"/>
      <c r="Q13" s="699"/>
      <c r="R13" s="699"/>
      <c r="S13" s="699"/>
      <c r="T13" s="699"/>
    </row>
    <row r="15" spans="1:41" ht="15.75" thickBot="1">
      <c r="A15" s="708" t="s">
        <v>66</v>
      </c>
      <c r="B15" s="708" t="s">
        <v>67</v>
      </c>
      <c r="C15" s="708" t="s">
        <v>68</v>
      </c>
      <c r="D15" s="710" t="s">
        <v>69</v>
      </c>
      <c r="E15" s="710"/>
      <c r="F15" s="696" t="s">
        <v>70</v>
      </c>
      <c r="G15" s="697" t="s">
        <v>71</v>
      </c>
      <c r="H15" s="697"/>
      <c r="I15" s="697"/>
      <c r="J15" s="697" t="s">
        <v>72</v>
      </c>
      <c r="K15" s="697"/>
      <c r="L15" s="697"/>
      <c r="M15" s="697" t="s">
        <v>73</v>
      </c>
      <c r="N15" s="697"/>
      <c r="O15" s="697"/>
      <c r="P15" s="697" t="s">
        <v>74</v>
      </c>
      <c r="Q15" s="697"/>
      <c r="R15" s="697"/>
      <c r="S15" s="696" t="s">
        <v>75</v>
      </c>
      <c r="T15" s="696" t="s">
        <v>76</v>
      </c>
      <c r="V15" s="81"/>
      <c r="W15" s="81"/>
      <c r="X15" s="81"/>
      <c r="Y15" s="81"/>
      <c r="Z15" s="81"/>
      <c r="AA15" s="81"/>
      <c r="AB15" s="81"/>
      <c r="AC15" s="81"/>
      <c r="AD15" s="81"/>
      <c r="AE15" s="81"/>
      <c r="AF15" s="81"/>
      <c r="AG15" s="81"/>
      <c r="AH15" s="81"/>
      <c r="AI15" s="81"/>
      <c r="AJ15" s="81"/>
      <c r="AK15" s="81"/>
      <c r="AL15" s="81"/>
      <c r="AM15" s="81"/>
      <c r="AN15" s="81"/>
      <c r="AO15" s="81"/>
    </row>
    <row r="16" spans="1:41" s="53" customFormat="1" ht="30">
      <c r="A16" s="709"/>
      <c r="B16" s="709"/>
      <c r="C16" s="709"/>
      <c r="D16" s="51" t="s">
        <v>77</v>
      </c>
      <c r="E16" s="51" t="s">
        <v>78</v>
      </c>
      <c r="F16" s="696"/>
      <c r="G16" s="52" t="s">
        <v>79</v>
      </c>
      <c r="H16" s="52" t="s">
        <v>80</v>
      </c>
      <c r="I16" s="52" t="s">
        <v>81</v>
      </c>
      <c r="J16" s="52" t="s">
        <v>82</v>
      </c>
      <c r="K16" s="52" t="s">
        <v>83</v>
      </c>
      <c r="L16" s="52" t="s">
        <v>84</v>
      </c>
      <c r="M16" s="52" t="s">
        <v>85</v>
      </c>
      <c r="N16" s="52" t="s">
        <v>86</v>
      </c>
      <c r="O16" s="52" t="s">
        <v>87</v>
      </c>
      <c r="P16" s="52" t="s">
        <v>88</v>
      </c>
      <c r="Q16" s="52" t="s">
        <v>89</v>
      </c>
      <c r="R16" s="52" t="s">
        <v>90</v>
      </c>
      <c r="S16" s="696"/>
      <c r="T16" s="696"/>
      <c r="V16" s="82" t="s">
        <v>79</v>
      </c>
      <c r="W16" s="82" t="s">
        <v>80</v>
      </c>
      <c r="X16" s="82" t="s">
        <v>81</v>
      </c>
      <c r="Y16" s="82" t="s">
        <v>159</v>
      </c>
      <c r="Z16" s="82" t="s">
        <v>160</v>
      </c>
      <c r="AA16" s="82" t="s">
        <v>82</v>
      </c>
      <c r="AB16" s="82" t="s">
        <v>83</v>
      </c>
      <c r="AC16" s="82" t="s">
        <v>84</v>
      </c>
      <c r="AD16" s="82" t="s">
        <v>161</v>
      </c>
      <c r="AE16" s="82" t="s">
        <v>162</v>
      </c>
      <c r="AF16" s="82" t="s">
        <v>85</v>
      </c>
      <c r="AG16" s="82" t="s">
        <v>86</v>
      </c>
      <c r="AH16" s="82" t="s">
        <v>87</v>
      </c>
      <c r="AI16" s="82" t="s">
        <v>163</v>
      </c>
      <c r="AJ16" s="82" t="s">
        <v>164</v>
      </c>
      <c r="AK16" s="82" t="s">
        <v>88</v>
      </c>
      <c r="AL16" s="82" t="s">
        <v>89</v>
      </c>
      <c r="AM16" s="82" t="s">
        <v>90</v>
      </c>
      <c r="AN16" s="82" t="s">
        <v>165</v>
      </c>
      <c r="AO16" s="82" t="s">
        <v>166</v>
      </c>
    </row>
    <row r="17" spans="1:20" ht="57">
      <c r="A17" s="706" t="s">
        <v>167</v>
      </c>
      <c r="B17" s="83" t="s">
        <v>168</v>
      </c>
      <c r="C17" s="83" t="s">
        <v>169</v>
      </c>
      <c r="D17" s="84" t="s">
        <v>170</v>
      </c>
      <c r="E17" s="85">
        <v>0.9</v>
      </c>
      <c r="F17" s="83" t="s">
        <v>171</v>
      </c>
      <c r="G17" s="85">
        <v>0.3</v>
      </c>
      <c r="H17" s="85">
        <v>0.3</v>
      </c>
      <c r="I17" s="85">
        <v>0.3</v>
      </c>
      <c r="J17" s="85">
        <v>0.35</v>
      </c>
      <c r="K17" s="85">
        <v>0.5</v>
      </c>
      <c r="L17" s="85">
        <v>0.6</v>
      </c>
      <c r="M17" s="85">
        <v>0.9</v>
      </c>
      <c r="N17" s="85">
        <v>0.9</v>
      </c>
      <c r="O17" s="85">
        <v>0.9</v>
      </c>
      <c r="P17" s="85">
        <v>0.9</v>
      </c>
      <c r="Q17" s="85">
        <v>0.9</v>
      </c>
      <c r="R17" s="85">
        <v>0.9</v>
      </c>
      <c r="S17" s="86">
        <f>'2- Presupuesto Operaciones'!U40</f>
        <v>40000</v>
      </c>
      <c r="T17" s="87"/>
    </row>
    <row r="18" spans="1:20" ht="57">
      <c r="A18" s="707"/>
      <c r="B18" s="88" t="s">
        <v>172</v>
      </c>
      <c r="C18" s="83" t="s">
        <v>173</v>
      </c>
      <c r="D18" s="84" t="s">
        <v>174</v>
      </c>
      <c r="E18" s="89">
        <v>50000</v>
      </c>
      <c r="F18" s="83" t="s">
        <v>175</v>
      </c>
      <c r="G18" s="87"/>
      <c r="H18" s="87"/>
      <c r="I18" s="87"/>
      <c r="J18" s="87"/>
      <c r="K18" s="89">
        <v>26000</v>
      </c>
      <c r="L18" s="89">
        <v>24000</v>
      </c>
      <c r="M18" s="89"/>
      <c r="N18" s="87"/>
      <c r="O18" s="87"/>
      <c r="P18" s="87"/>
      <c r="Q18" s="87"/>
      <c r="R18" s="87"/>
      <c r="S18" s="86">
        <f>SUM('2- Presupuesto Operaciones'!U17:U39)</f>
        <v>3630348</v>
      </c>
      <c r="T18" s="90" t="s">
        <v>176</v>
      </c>
    </row>
    <row r="19" spans="1:20" ht="42.75">
      <c r="A19" s="57" t="s">
        <v>177</v>
      </c>
      <c r="B19" s="57" t="s">
        <v>178</v>
      </c>
      <c r="C19" s="57" t="s">
        <v>179</v>
      </c>
      <c r="D19" s="60" t="s">
        <v>180</v>
      </c>
      <c r="E19" s="60">
        <v>1</v>
      </c>
      <c r="F19" s="57" t="s">
        <v>181</v>
      </c>
      <c r="G19" s="91"/>
      <c r="H19" s="91"/>
      <c r="I19" s="91"/>
      <c r="J19" s="91"/>
      <c r="K19" s="60">
        <v>1</v>
      </c>
      <c r="L19" s="91"/>
      <c r="M19" s="91"/>
      <c r="N19" s="91"/>
      <c r="O19" s="91"/>
      <c r="P19" s="91"/>
      <c r="Q19" s="91"/>
      <c r="R19" s="91"/>
      <c r="S19" s="92">
        <f>'2- Presupuesto Operaciones'!U41</f>
        <v>329650</v>
      </c>
      <c r="T19" s="91"/>
    </row>
    <row r="20" spans="1:20" ht="57">
      <c r="A20" s="34" t="s">
        <v>1300</v>
      </c>
      <c r="B20" s="83" t="s">
        <v>1301</v>
      </c>
      <c r="C20" s="83" t="s">
        <v>1302</v>
      </c>
      <c r="D20" s="84" t="s">
        <v>1303</v>
      </c>
      <c r="E20" s="89">
        <v>65000</v>
      </c>
      <c r="F20" s="83" t="s">
        <v>1304</v>
      </c>
      <c r="G20" s="85"/>
      <c r="H20" s="85"/>
      <c r="I20" s="85"/>
      <c r="J20" s="85"/>
      <c r="K20" s="85">
        <v>1</v>
      </c>
      <c r="L20" s="85"/>
      <c r="M20" s="85"/>
      <c r="N20" s="85"/>
      <c r="O20" s="85"/>
      <c r="P20" s="85"/>
      <c r="Q20" s="85"/>
      <c r="R20" s="89">
        <v>65000</v>
      </c>
      <c r="S20" s="86" t="s">
        <v>1305</v>
      </c>
      <c r="T20" s="87"/>
    </row>
  </sheetData>
  <mergeCells count="18">
    <mergeCell ref="A17:A18"/>
    <mergeCell ref="A15:A16"/>
    <mergeCell ref="B15:B16"/>
    <mergeCell ref="C15:C16"/>
    <mergeCell ref="D15:E15"/>
    <mergeCell ref="F15:F16"/>
    <mergeCell ref="G15:I15"/>
    <mergeCell ref="A7:T7"/>
    <mergeCell ref="A8:T8"/>
    <mergeCell ref="B10:T10"/>
    <mergeCell ref="B11:T11"/>
    <mergeCell ref="B12:T12"/>
    <mergeCell ref="B13:T13"/>
    <mergeCell ref="J15:L15"/>
    <mergeCell ref="M15:O15"/>
    <mergeCell ref="P15:R15"/>
    <mergeCell ref="S15:S16"/>
    <mergeCell ref="T15:T1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2572F-E5C4-41DB-91BB-0632BF906EB7}">
  <dimension ref="A8:AW43"/>
  <sheetViews>
    <sheetView showGridLines="0" topLeftCell="A4" workbookViewId="0">
      <selection activeCell="A15" sqref="A15:A16"/>
    </sheetView>
  </sheetViews>
  <sheetFormatPr defaultColWidth="11.42578125" defaultRowHeight="14.25"/>
  <cols>
    <col min="1" max="1" width="42.5703125" style="27" customWidth="1"/>
    <col min="2" max="2" width="24" style="27" bestFit="1" customWidth="1"/>
    <col min="3" max="3" width="32" style="27" bestFit="1" customWidth="1"/>
    <col min="4" max="4" width="37.140625" style="27" bestFit="1" customWidth="1"/>
    <col min="5" max="5" width="11.85546875" style="27" bestFit="1" customWidth="1"/>
    <col min="6" max="6" width="13.85546875" style="27" customWidth="1"/>
    <col min="7" max="7" width="12.28515625" style="27" customWidth="1"/>
    <col min="8" max="8" width="23.5703125" style="78" bestFit="1" customWidth="1"/>
    <col min="9" max="9" width="13.5703125" style="27" bestFit="1" customWidth="1"/>
    <col min="10" max="10" width="11.85546875" style="27" customWidth="1"/>
    <col min="11" max="11" width="10.140625" style="27" customWidth="1"/>
    <col min="12" max="12" width="13.5703125" style="27" bestFit="1" customWidth="1"/>
    <col min="13" max="13" width="19.140625" style="27" bestFit="1" customWidth="1"/>
    <col min="14" max="14" width="8" style="27" customWidth="1"/>
    <col min="15" max="15" width="7.140625" style="27" customWidth="1"/>
    <col min="16" max="16" width="9" style="27" customWidth="1"/>
    <col min="17" max="17" width="14" style="27" bestFit="1" customWidth="1"/>
    <col min="18" max="18" width="10.28515625" style="27" customWidth="1"/>
    <col min="19" max="20" width="13.140625" style="27" customWidth="1"/>
    <col min="21" max="21" width="21.85546875" style="27" bestFit="1" customWidth="1"/>
    <col min="22" max="22" width="15.7109375" style="27" customWidth="1"/>
    <col min="23" max="23" width="16.85546875" style="27" customWidth="1"/>
    <col min="24" max="26" width="0" style="27" hidden="1" customWidth="1"/>
    <col min="27" max="27" width="12.5703125" style="27" hidden="1" customWidth="1"/>
    <col min="28" max="28" width="16.7109375" style="27" hidden="1" customWidth="1"/>
    <col min="29" max="29" width="8.140625" style="27" hidden="1" customWidth="1"/>
    <col min="30" max="31" width="0" style="27" hidden="1" customWidth="1"/>
    <col min="32" max="32" width="12.5703125" style="27" hidden="1" customWidth="1"/>
    <col min="33" max="33" width="16.7109375" style="27" hidden="1" customWidth="1"/>
    <col min="34" max="36" width="0" style="27" hidden="1" customWidth="1"/>
    <col min="37" max="37" width="12.5703125" style="27" hidden="1" customWidth="1"/>
    <col min="38" max="38" width="16.7109375" style="27" hidden="1" customWidth="1"/>
    <col min="39" max="41" width="0" style="27" hidden="1" customWidth="1"/>
    <col min="42" max="42" width="12.5703125" style="27" hidden="1" customWidth="1"/>
    <col min="43" max="49" width="16.7109375" style="27" hidden="1" customWidth="1"/>
    <col min="50" max="163" width="0" style="27" hidden="1" customWidth="1"/>
    <col min="164" max="165" width="9.42578125" style="27" customWidth="1"/>
    <col min="166" max="166" width="5" style="27" customWidth="1"/>
    <col min="167" max="167" width="3.5703125" style="27" customWidth="1"/>
    <col min="168" max="168" width="8.7109375" style="27" customWidth="1"/>
    <col min="169" max="16384" width="11.42578125" style="27"/>
  </cols>
  <sheetData>
    <row r="8" spans="1:43" ht="20.25">
      <c r="A8" s="698" t="s">
        <v>60</v>
      </c>
      <c r="B8" s="698"/>
      <c r="C8" s="698"/>
      <c r="D8" s="698"/>
      <c r="E8" s="698"/>
      <c r="F8" s="698"/>
      <c r="G8" s="698"/>
      <c r="H8" s="698"/>
      <c r="I8" s="698"/>
      <c r="J8" s="698"/>
      <c r="K8" s="698"/>
      <c r="L8" s="698"/>
      <c r="M8" s="698"/>
      <c r="N8" s="698"/>
      <c r="O8" s="698"/>
      <c r="P8" s="698"/>
      <c r="Q8" s="698"/>
      <c r="R8" s="698"/>
      <c r="S8" s="698"/>
      <c r="T8" s="698"/>
      <c r="U8" s="698"/>
      <c r="V8" s="698"/>
    </row>
    <row r="9" spans="1:43" ht="20.25">
      <c r="A9" s="698" t="s">
        <v>61</v>
      </c>
      <c r="B9" s="698"/>
      <c r="C9" s="698"/>
      <c r="D9" s="698"/>
      <c r="E9" s="698"/>
      <c r="F9" s="698"/>
      <c r="G9" s="698"/>
      <c r="H9" s="698"/>
      <c r="I9" s="698"/>
      <c r="J9" s="698"/>
      <c r="K9" s="698"/>
      <c r="L9" s="698"/>
      <c r="M9" s="698"/>
      <c r="N9" s="698"/>
      <c r="O9" s="698"/>
      <c r="P9" s="698"/>
      <c r="Q9" s="698"/>
      <c r="R9" s="698"/>
      <c r="S9" s="698"/>
      <c r="T9" s="698"/>
      <c r="U9" s="698"/>
      <c r="V9" s="698"/>
    </row>
    <row r="10" spans="1:43" ht="20.25">
      <c r="A10" s="698" t="s">
        <v>137</v>
      </c>
      <c r="B10" s="698"/>
      <c r="C10" s="698"/>
      <c r="D10" s="698"/>
      <c r="E10" s="698"/>
      <c r="F10" s="698"/>
      <c r="G10" s="698"/>
      <c r="H10" s="698"/>
      <c r="I10" s="698"/>
      <c r="J10" s="698"/>
      <c r="K10" s="698"/>
      <c r="L10" s="698"/>
      <c r="M10" s="698"/>
      <c r="N10" s="698"/>
      <c r="O10" s="698"/>
      <c r="P10" s="698"/>
      <c r="Q10" s="698"/>
      <c r="R10" s="698"/>
      <c r="S10" s="698"/>
      <c r="T10" s="698"/>
      <c r="U10" s="698"/>
      <c r="V10" s="698"/>
    </row>
    <row r="11" spans="1:43" ht="20.25">
      <c r="A11" s="79" t="s">
        <v>62</v>
      </c>
      <c r="B11" s="699" t="s">
        <v>154</v>
      </c>
      <c r="C11" s="699"/>
      <c r="D11" s="699"/>
      <c r="E11" s="699"/>
      <c r="F11" s="699"/>
      <c r="G11" s="699"/>
      <c r="H11" s="699"/>
      <c r="I11" s="699"/>
      <c r="J11" s="699"/>
      <c r="K11" s="699"/>
      <c r="L11" s="699"/>
      <c r="M11" s="699"/>
      <c r="N11" s="699"/>
      <c r="O11" s="699"/>
      <c r="P11" s="699"/>
      <c r="Q11" s="699"/>
      <c r="R11" s="699"/>
      <c r="S11" s="699"/>
      <c r="T11" s="699"/>
      <c r="U11" s="699"/>
      <c r="V11" s="699"/>
    </row>
    <row r="12" spans="1:43" ht="20.25">
      <c r="A12" s="79" t="s">
        <v>63</v>
      </c>
      <c r="B12" s="699" t="s">
        <v>155</v>
      </c>
      <c r="C12" s="699"/>
      <c r="D12" s="699"/>
      <c r="E12" s="699"/>
      <c r="F12" s="699"/>
      <c r="G12" s="699"/>
      <c r="H12" s="699"/>
      <c r="I12" s="699"/>
      <c r="J12" s="699"/>
      <c r="K12" s="699"/>
      <c r="L12" s="699"/>
      <c r="M12" s="699"/>
      <c r="N12" s="699"/>
      <c r="O12" s="699"/>
      <c r="P12" s="699"/>
      <c r="Q12" s="699"/>
      <c r="R12" s="699"/>
      <c r="S12" s="699"/>
      <c r="T12" s="699"/>
      <c r="U12" s="699"/>
      <c r="V12" s="699"/>
    </row>
    <row r="13" spans="1:43" ht="20.25">
      <c r="A13" s="79" t="s">
        <v>65</v>
      </c>
      <c r="B13" s="699" t="s">
        <v>183</v>
      </c>
      <c r="C13" s="699"/>
      <c r="D13" s="699"/>
      <c r="E13" s="699"/>
      <c r="F13" s="699"/>
      <c r="G13" s="699"/>
      <c r="H13" s="699"/>
      <c r="I13" s="699"/>
      <c r="J13" s="699"/>
      <c r="K13" s="699"/>
      <c r="L13" s="699"/>
      <c r="M13" s="699"/>
      <c r="N13" s="699"/>
      <c r="O13" s="699"/>
      <c r="P13" s="699"/>
      <c r="Q13" s="699"/>
      <c r="R13" s="699"/>
      <c r="S13" s="699"/>
      <c r="T13" s="699"/>
      <c r="U13" s="699"/>
      <c r="V13" s="699"/>
    </row>
    <row r="15" spans="1:43" ht="15.75" thickBot="1">
      <c r="A15" s="708" t="s">
        <v>66</v>
      </c>
      <c r="B15" s="696" t="s">
        <v>70</v>
      </c>
      <c r="C15" s="714" t="s">
        <v>23</v>
      </c>
      <c r="D15" s="714" t="s">
        <v>139</v>
      </c>
      <c r="E15" s="714" t="s">
        <v>184</v>
      </c>
      <c r="F15" s="714" t="s">
        <v>141</v>
      </c>
      <c r="G15" s="714" t="s">
        <v>101</v>
      </c>
      <c r="H15" s="714" t="s">
        <v>142</v>
      </c>
      <c r="I15" s="697" t="s">
        <v>71</v>
      </c>
      <c r="J15" s="697"/>
      <c r="K15" s="697"/>
      <c r="L15" s="697" t="s">
        <v>72</v>
      </c>
      <c r="M15" s="697"/>
      <c r="N15" s="697"/>
      <c r="O15" s="697" t="s">
        <v>73</v>
      </c>
      <c r="P15" s="697"/>
      <c r="Q15" s="697"/>
      <c r="R15" s="697" t="s">
        <v>74</v>
      </c>
      <c r="S15" s="697"/>
      <c r="T15" s="697"/>
      <c r="U15" s="696" t="s">
        <v>75</v>
      </c>
      <c r="V15" s="696" t="s">
        <v>185</v>
      </c>
      <c r="X15" s="81"/>
      <c r="Y15" s="81"/>
      <c r="Z15" s="81"/>
      <c r="AA15" s="81"/>
      <c r="AB15" s="81"/>
      <c r="AC15" s="81"/>
      <c r="AD15" s="81"/>
      <c r="AE15" s="81"/>
      <c r="AF15" s="81"/>
      <c r="AG15" s="81"/>
      <c r="AH15" s="81"/>
      <c r="AI15" s="81"/>
      <c r="AJ15" s="81"/>
      <c r="AK15" s="81"/>
      <c r="AL15" s="81"/>
      <c r="AM15" s="81"/>
      <c r="AN15" s="81"/>
      <c r="AO15" s="81"/>
      <c r="AP15" s="81"/>
      <c r="AQ15" s="81"/>
    </row>
    <row r="16" spans="1:43" s="53" customFormat="1" ht="21" customHeight="1">
      <c r="A16" s="709"/>
      <c r="B16" s="696"/>
      <c r="C16" s="715"/>
      <c r="D16" s="715"/>
      <c r="E16" s="715"/>
      <c r="F16" s="715"/>
      <c r="G16" s="715"/>
      <c r="H16" s="715"/>
      <c r="I16" s="52" t="s">
        <v>79</v>
      </c>
      <c r="J16" s="52" t="s">
        <v>80</v>
      </c>
      <c r="K16" s="52" t="s">
        <v>81</v>
      </c>
      <c r="L16" s="52" t="s">
        <v>82</v>
      </c>
      <c r="M16" s="52" t="s">
        <v>83</v>
      </c>
      <c r="N16" s="52" t="s">
        <v>84</v>
      </c>
      <c r="O16" s="52" t="s">
        <v>85</v>
      </c>
      <c r="P16" s="52" t="s">
        <v>86</v>
      </c>
      <c r="Q16" s="52" t="s">
        <v>87</v>
      </c>
      <c r="R16" s="52" t="s">
        <v>88</v>
      </c>
      <c r="S16" s="52" t="s">
        <v>89</v>
      </c>
      <c r="T16" s="52" t="s">
        <v>90</v>
      </c>
      <c r="U16" s="696"/>
      <c r="V16" s="696"/>
      <c r="X16" s="82" t="s">
        <v>79</v>
      </c>
      <c r="Y16" s="82" t="s">
        <v>80</v>
      </c>
      <c r="Z16" s="82" t="s">
        <v>81</v>
      </c>
      <c r="AA16" s="82" t="s">
        <v>159</v>
      </c>
      <c r="AB16" s="82" t="s">
        <v>160</v>
      </c>
      <c r="AC16" s="82" t="s">
        <v>82</v>
      </c>
      <c r="AD16" s="82" t="s">
        <v>83</v>
      </c>
      <c r="AE16" s="82" t="s">
        <v>84</v>
      </c>
      <c r="AF16" s="82" t="s">
        <v>161</v>
      </c>
      <c r="AG16" s="82" t="s">
        <v>162</v>
      </c>
      <c r="AH16" s="82" t="s">
        <v>85</v>
      </c>
      <c r="AI16" s="82" t="s">
        <v>86</v>
      </c>
      <c r="AJ16" s="82" t="s">
        <v>87</v>
      </c>
      <c r="AK16" s="82" t="s">
        <v>163</v>
      </c>
      <c r="AL16" s="82" t="s">
        <v>164</v>
      </c>
      <c r="AM16" s="82" t="s">
        <v>88</v>
      </c>
      <c r="AN16" s="82" t="s">
        <v>89</v>
      </c>
      <c r="AO16" s="82" t="s">
        <v>90</v>
      </c>
      <c r="AP16" s="82" t="s">
        <v>165</v>
      </c>
      <c r="AQ16" s="82" t="s">
        <v>166</v>
      </c>
    </row>
    <row r="17" spans="1:22">
      <c r="A17" s="706" t="s">
        <v>167</v>
      </c>
      <c r="B17" s="717" t="s">
        <v>175</v>
      </c>
      <c r="C17" s="717" t="s">
        <v>186</v>
      </c>
      <c r="D17" s="54" t="s">
        <v>187</v>
      </c>
      <c r="E17" s="36" t="s">
        <v>188</v>
      </c>
      <c r="F17" s="62" t="s">
        <v>189</v>
      </c>
      <c r="G17" s="36">
        <v>5</v>
      </c>
      <c r="H17" s="93">
        <v>200</v>
      </c>
      <c r="I17" s="94">
        <v>0</v>
      </c>
      <c r="J17" s="94">
        <v>0</v>
      </c>
      <c r="K17" s="94">
        <v>0</v>
      </c>
      <c r="L17" s="94">
        <v>0</v>
      </c>
      <c r="M17" s="93">
        <v>30000</v>
      </c>
      <c r="N17" s="94">
        <v>0</v>
      </c>
      <c r="O17" s="94">
        <v>0</v>
      </c>
      <c r="P17" s="94">
        <v>0</v>
      </c>
      <c r="Q17" s="94">
        <v>0</v>
      </c>
      <c r="R17" s="94">
        <v>0</v>
      </c>
      <c r="S17" s="94">
        <v>0</v>
      </c>
      <c r="T17" s="94">
        <v>0</v>
      </c>
      <c r="U17" s="93">
        <f>+SUM(I17:T17)</f>
        <v>30000</v>
      </c>
      <c r="V17" s="95"/>
    </row>
    <row r="18" spans="1:22">
      <c r="A18" s="716"/>
      <c r="B18" s="717"/>
      <c r="C18" s="717"/>
      <c r="D18" s="54" t="s">
        <v>190</v>
      </c>
      <c r="E18" s="36" t="s">
        <v>188</v>
      </c>
      <c r="F18" s="62" t="s">
        <v>189</v>
      </c>
      <c r="G18" s="36">
        <v>5</v>
      </c>
      <c r="H18" s="93">
        <v>1000</v>
      </c>
      <c r="I18" s="94">
        <v>0</v>
      </c>
      <c r="J18" s="94">
        <v>0</v>
      </c>
      <c r="K18" s="94">
        <v>0</v>
      </c>
      <c r="L18" s="94">
        <v>0</v>
      </c>
      <c r="M18" s="93">
        <v>10000</v>
      </c>
      <c r="N18" s="94">
        <v>0</v>
      </c>
      <c r="O18" s="94">
        <v>0</v>
      </c>
      <c r="P18" s="94">
        <v>0</v>
      </c>
      <c r="Q18" s="94">
        <v>0</v>
      </c>
      <c r="R18" s="94">
        <v>0</v>
      </c>
      <c r="S18" s="94">
        <v>0</v>
      </c>
      <c r="T18" s="94">
        <v>0</v>
      </c>
      <c r="U18" s="93">
        <f t="shared" ref="U18:U40" si="0">+SUM(I18:T18)</f>
        <v>10000</v>
      </c>
      <c r="V18" s="95"/>
    </row>
    <row r="19" spans="1:22">
      <c r="A19" s="716"/>
      <c r="B19" s="717"/>
      <c r="C19" s="717"/>
      <c r="D19" s="54" t="s">
        <v>191</v>
      </c>
      <c r="E19" s="36" t="s">
        <v>146</v>
      </c>
      <c r="F19" s="62" t="s">
        <v>189</v>
      </c>
      <c r="G19" s="36">
        <v>5</v>
      </c>
      <c r="H19" s="93">
        <v>700</v>
      </c>
      <c r="I19" s="94">
        <v>0</v>
      </c>
      <c r="J19" s="94">
        <v>0</v>
      </c>
      <c r="K19" s="94">
        <v>0</v>
      </c>
      <c r="L19" s="94">
        <v>0</v>
      </c>
      <c r="M19" s="93">
        <v>112000</v>
      </c>
      <c r="N19" s="94">
        <v>0</v>
      </c>
      <c r="O19" s="94">
        <v>0</v>
      </c>
      <c r="P19" s="94">
        <v>0</v>
      </c>
      <c r="Q19" s="94">
        <v>0</v>
      </c>
      <c r="R19" s="94">
        <v>0</v>
      </c>
      <c r="S19" s="94">
        <v>0</v>
      </c>
      <c r="T19" s="94">
        <v>0</v>
      </c>
      <c r="U19" s="93">
        <f t="shared" si="0"/>
        <v>112000</v>
      </c>
      <c r="V19" s="95"/>
    </row>
    <row r="20" spans="1:22">
      <c r="A20" s="716"/>
      <c r="B20" s="717"/>
      <c r="C20" s="717"/>
      <c r="D20" s="54" t="s">
        <v>192</v>
      </c>
      <c r="E20" s="36" t="s">
        <v>193</v>
      </c>
      <c r="F20" s="62" t="s">
        <v>194</v>
      </c>
      <c r="G20" s="36">
        <v>1</v>
      </c>
      <c r="H20" s="93">
        <v>150</v>
      </c>
      <c r="I20" s="94">
        <v>0</v>
      </c>
      <c r="J20" s="94">
        <v>0</v>
      </c>
      <c r="K20" s="94">
        <v>0</v>
      </c>
      <c r="L20" s="94">
        <v>0</v>
      </c>
      <c r="M20" s="93">
        <v>4800</v>
      </c>
      <c r="N20" s="94">
        <v>0</v>
      </c>
      <c r="O20" s="94">
        <v>0</v>
      </c>
      <c r="P20" s="94">
        <v>0</v>
      </c>
      <c r="Q20" s="94">
        <v>0</v>
      </c>
      <c r="R20" s="94">
        <v>0</v>
      </c>
      <c r="S20" s="94">
        <v>0</v>
      </c>
      <c r="T20" s="94">
        <v>0</v>
      </c>
      <c r="U20" s="93">
        <f t="shared" si="0"/>
        <v>4800</v>
      </c>
      <c r="V20" s="95"/>
    </row>
    <row r="21" spans="1:22">
      <c r="A21" s="716"/>
      <c r="B21" s="717"/>
      <c r="C21" s="717"/>
      <c r="D21" s="54" t="s">
        <v>195</v>
      </c>
      <c r="E21" s="36" t="s">
        <v>196</v>
      </c>
      <c r="F21" s="62" t="s">
        <v>194</v>
      </c>
      <c r="G21" s="36">
        <v>1</v>
      </c>
      <c r="H21" s="93">
        <v>100</v>
      </c>
      <c r="I21" s="94">
        <v>0</v>
      </c>
      <c r="J21" s="94">
        <v>0</v>
      </c>
      <c r="K21" s="94">
        <v>0</v>
      </c>
      <c r="L21" s="94">
        <v>0</v>
      </c>
      <c r="M21" s="93">
        <v>3200</v>
      </c>
      <c r="N21" s="94">
        <v>0</v>
      </c>
      <c r="O21" s="94">
        <v>0</v>
      </c>
      <c r="P21" s="94">
        <v>0</v>
      </c>
      <c r="Q21" s="94">
        <v>0</v>
      </c>
      <c r="R21" s="94">
        <v>0</v>
      </c>
      <c r="S21" s="94">
        <v>0</v>
      </c>
      <c r="T21" s="94">
        <v>0</v>
      </c>
      <c r="U21" s="93">
        <f t="shared" si="0"/>
        <v>3200</v>
      </c>
      <c r="V21" s="95"/>
    </row>
    <row r="22" spans="1:22">
      <c r="A22" s="716"/>
      <c r="B22" s="717"/>
      <c r="C22" s="717"/>
      <c r="D22" s="54" t="s">
        <v>197</v>
      </c>
      <c r="E22" s="36" t="s">
        <v>198</v>
      </c>
      <c r="F22" s="62" t="s">
        <v>189</v>
      </c>
      <c r="G22" s="36">
        <v>5</v>
      </c>
      <c r="H22" s="93">
        <v>500</v>
      </c>
      <c r="I22" s="94">
        <v>0</v>
      </c>
      <c r="J22" s="94">
        <v>0</v>
      </c>
      <c r="K22" s="94">
        <v>0</v>
      </c>
      <c r="L22" s="94">
        <v>0</v>
      </c>
      <c r="M22" s="93">
        <v>2500</v>
      </c>
      <c r="N22" s="94">
        <v>0</v>
      </c>
      <c r="O22" s="94">
        <v>0</v>
      </c>
      <c r="P22" s="94">
        <v>0</v>
      </c>
      <c r="Q22" s="94">
        <v>0</v>
      </c>
      <c r="R22" s="94">
        <v>0</v>
      </c>
      <c r="S22" s="94">
        <v>0</v>
      </c>
      <c r="T22" s="94">
        <v>0</v>
      </c>
      <c r="U22" s="93">
        <f t="shared" si="0"/>
        <v>2500</v>
      </c>
      <c r="V22" s="95"/>
    </row>
    <row r="23" spans="1:22">
      <c r="A23" s="716"/>
      <c r="B23" s="717"/>
      <c r="C23" s="717"/>
      <c r="D23" s="54" t="s">
        <v>199</v>
      </c>
      <c r="E23" s="36" t="s">
        <v>198</v>
      </c>
      <c r="F23" s="62" t="s">
        <v>189</v>
      </c>
      <c r="G23" s="36">
        <v>5</v>
      </c>
      <c r="H23" s="93">
        <v>500</v>
      </c>
      <c r="I23" s="94">
        <v>0</v>
      </c>
      <c r="J23" s="94">
        <v>0</v>
      </c>
      <c r="K23" s="94">
        <v>0</v>
      </c>
      <c r="L23" s="94">
        <v>0</v>
      </c>
      <c r="M23" s="93">
        <v>1250</v>
      </c>
      <c r="N23" s="94">
        <v>0</v>
      </c>
      <c r="O23" s="94">
        <v>0</v>
      </c>
      <c r="P23" s="94">
        <v>0</v>
      </c>
      <c r="Q23" s="94">
        <v>0</v>
      </c>
      <c r="R23" s="94">
        <v>0</v>
      </c>
      <c r="S23" s="94">
        <v>0</v>
      </c>
      <c r="T23" s="94">
        <v>0</v>
      </c>
      <c r="U23" s="93">
        <f t="shared" si="0"/>
        <v>1250</v>
      </c>
      <c r="V23" s="95"/>
    </row>
    <row r="24" spans="1:22">
      <c r="A24" s="716"/>
      <c r="B24" s="717"/>
      <c r="C24" s="717"/>
      <c r="D24" s="54" t="s">
        <v>192</v>
      </c>
      <c r="E24" s="36" t="s">
        <v>200</v>
      </c>
      <c r="F24" s="62" t="s">
        <v>194</v>
      </c>
      <c r="G24" s="36">
        <v>1000</v>
      </c>
      <c r="H24" s="93">
        <v>5</v>
      </c>
      <c r="I24" s="94">
        <v>0</v>
      </c>
      <c r="J24" s="94">
        <v>0</v>
      </c>
      <c r="K24" s="94">
        <v>0</v>
      </c>
      <c r="L24" s="94">
        <v>0</v>
      </c>
      <c r="M24" s="93">
        <v>800</v>
      </c>
      <c r="N24" s="94">
        <v>0</v>
      </c>
      <c r="O24" s="94">
        <v>0</v>
      </c>
      <c r="P24" s="94">
        <v>0</v>
      </c>
      <c r="Q24" s="94">
        <v>0</v>
      </c>
      <c r="R24" s="94">
        <v>0</v>
      </c>
      <c r="S24" s="94">
        <v>0</v>
      </c>
      <c r="T24" s="94">
        <v>0</v>
      </c>
      <c r="U24" s="93">
        <f t="shared" si="0"/>
        <v>800</v>
      </c>
      <c r="V24" s="95"/>
    </row>
    <row r="25" spans="1:22">
      <c r="A25" s="716"/>
      <c r="B25" s="717"/>
      <c r="C25" s="717"/>
      <c r="D25" s="54" t="s">
        <v>195</v>
      </c>
      <c r="E25" s="36" t="s">
        <v>201</v>
      </c>
      <c r="F25" s="62" t="s">
        <v>194</v>
      </c>
      <c r="G25" s="36">
        <v>5</v>
      </c>
      <c r="H25" s="93">
        <v>800</v>
      </c>
      <c r="I25" s="94">
        <v>0</v>
      </c>
      <c r="J25" s="94">
        <v>0</v>
      </c>
      <c r="K25" s="94">
        <v>0</v>
      </c>
      <c r="L25" s="94">
        <v>0</v>
      </c>
      <c r="M25" s="93">
        <v>128000</v>
      </c>
      <c r="N25" s="94">
        <v>0</v>
      </c>
      <c r="O25" s="94">
        <v>0</v>
      </c>
      <c r="P25" s="94">
        <v>0</v>
      </c>
      <c r="Q25" s="94">
        <v>0</v>
      </c>
      <c r="R25" s="94">
        <v>0</v>
      </c>
      <c r="S25" s="94">
        <v>0</v>
      </c>
      <c r="T25" s="94">
        <v>0</v>
      </c>
      <c r="U25" s="93">
        <f t="shared" si="0"/>
        <v>128000</v>
      </c>
      <c r="V25" s="95"/>
    </row>
    <row r="26" spans="1:22">
      <c r="A26" s="716"/>
      <c r="B26" s="717"/>
      <c r="C26" s="717"/>
      <c r="D26" s="54" t="s">
        <v>197</v>
      </c>
      <c r="E26" s="36" t="s">
        <v>202</v>
      </c>
      <c r="F26" s="62" t="s">
        <v>194</v>
      </c>
      <c r="G26" s="36">
        <v>1</v>
      </c>
      <c r="H26" s="93">
        <v>300</v>
      </c>
      <c r="I26" s="94">
        <v>0</v>
      </c>
      <c r="J26" s="94">
        <v>0</v>
      </c>
      <c r="K26" s="94">
        <v>0</v>
      </c>
      <c r="L26" s="94">
        <v>0</v>
      </c>
      <c r="M26" s="93">
        <v>10500</v>
      </c>
      <c r="N26" s="94">
        <v>0</v>
      </c>
      <c r="O26" s="94">
        <v>0</v>
      </c>
      <c r="P26" s="94">
        <v>0</v>
      </c>
      <c r="Q26" s="94">
        <v>0</v>
      </c>
      <c r="R26" s="94">
        <v>0</v>
      </c>
      <c r="S26" s="94">
        <v>0</v>
      </c>
      <c r="T26" s="94">
        <v>0</v>
      </c>
      <c r="U26" s="93">
        <f t="shared" si="0"/>
        <v>10500</v>
      </c>
      <c r="V26" s="95"/>
    </row>
    <row r="27" spans="1:22">
      <c r="A27" s="716"/>
      <c r="B27" s="717"/>
      <c r="C27" s="717"/>
      <c r="D27" s="54" t="s">
        <v>199</v>
      </c>
      <c r="E27" s="36" t="s">
        <v>202</v>
      </c>
      <c r="F27" s="62" t="s">
        <v>194</v>
      </c>
      <c r="G27" s="36">
        <v>1</v>
      </c>
      <c r="H27" s="93">
        <v>250</v>
      </c>
      <c r="I27" s="94">
        <v>0</v>
      </c>
      <c r="J27" s="94">
        <v>0</v>
      </c>
      <c r="K27" s="94">
        <v>0</v>
      </c>
      <c r="L27" s="94">
        <v>0</v>
      </c>
      <c r="M27" s="93">
        <v>8750</v>
      </c>
      <c r="N27" s="94">
        <v>0</v>
      </c>
      <c r="O27" s="94">
        <v>0</v>
      </c>
      <c r="P27" s="94">
        <v>0</v>
      </c>
      <c r="Q27" s="94">
        <v>0</v>
      </c>
      <c r="R27" s="94">
        <v>0</v>
      </c>
      <c r="S27" s="94">
        <v>0</v>
      </c>
      <c r="T27" s="94">
        <v>0</v>
      </c>
      <c r="U27" s="93">
        <f t="shared" si="0"/>
        <v>8750</v>
      </c>
      <c r="V27" s="95"/>
    </row>
    <row r="28" spans="1:22">
      <c r="A28" s="716"/>
      <c r="B28" s="717"/>
      <c r="C28" s="717"/>
      <c r="D28" s="54" t="s">
        <v>203</v>
      </c>
      <c r="E28" s="36" t="s">
        <v>202</v>
      </c>
      <c r="F28" s="62" t="s">
        <v>194</v>
      </c>
      <c r="G28" s="36">
        <v>1</v>
      </c>
      <c r="H28" s="93">
        <v>300</v>
      </c>
      <c r="I28" s="94">
        <v>0</v>
      </c>
      <c r="J28" s="94">
        <v>0</v>
      </c>
      <c r="K28" s="94">
        <v>0</v>
      </c>
      <c r="L28" s="94">
        <v>0</v>
      </c>
      <c r="M28" s="93">
        <v>21000</v>
      </c>
      <c r="N28" s="94">
        <v>0</v>
      </c>
      <c r="O28" s="94">
        <v>0</v>
      </c>
      <c r="P28" s="94">
        <v>0</v>
      </c>
      <c r="Q28" s="94">
        <v>0</v>
      </c>
      <c r="R28" s="94">
        <v>0</v>
      </c>
      <c r="S28" s="94">
        <v>0</v>
      </c>
      <c r="T28" s="94">
        <v>0</v>
      </c>
      <c r="U28" s="93">
        <f t="shared" si="0"/>
        <v>21000</v>
      </c>
      <c r="V28" s="95"/>
    </row>
    <row r="29" spans="1:22">
      <c r="A29" s="716"/>
      <c r="B29" s="717"/>
      <c r="C29" s="717"/>
      <c r="D29" s="54" t="s">
        <v>204</v>
      </c>
      <c r="E29" s="36" t="s">
        <v>205</v>
      </c>
      <c r="F29" s="62" t="s">
        <v>194</v>
      </c>
      <c r="G29" s="36">
        <v>42</v>
      </c>
      <c r="H29" s="93">
        <v>4500</v>
      </c>
      <c r="I29" s="94">
        <v>0</v>
      </c>
      <c r="J29" s="94">
        <v>0</v>
      </c>
      <c r="K29" s="94">
        <v>0</v>
      </c>
      <c r="L29" s="94">
        <v>0</v>
      </c>
      <c r="M29" s="93">
        <v>1323000</v>
      </c>
      <c r="N29" s="94">
        <v>0</v>
      </c>
      <c r="O29" s="94">
        <v>0</v>
      </c>
      <c r="P29" s="94">
        <v>0</v>
      </c>
      <c r="Q29" s="94">
        <v>0</v>
      </c>
      <c r="R29" s="94">
        <v>0</v>
      </c>
      <c r="S29" s="94">
        <v>0</v>
      </c>
      <c r="T29" s="94">
        <v>0</v>
      </c>
      <c r="U29" s="93">
        <f t="shared" si="0"/>
        <v>1323000</v>
      </c>
      <c r="V29" s="95"/>
    </row>
    <row r="30" spans="1:22">
      <c r="A30" s="716"/>
      <c r="B30" s="717"/>
      <c r="C30" s="717"/>
      <c r="D30" s="54" t="s">
        <v>206</v>
      </c>
      <c r="E30" s="36" t="s">
        <v>207</v>
      </c>
      <c r="F30" s="62" t="s">
        <v>208</v>
      </c>
      <c r="G30" s="36">
        <v>2</v>
      </c>
      <c r="H30" s="93">
        <v>850</v>
      </c>
      <c r="I30" s="94">
        <v>0</v>
      </c>
      <c r="J30" s="94">
        <v>0</v>
      </c>
      <c r="K30" s="94">
        <v>0</v>
      </c>
      <c r="L30" s="94">
        <v>0</v>
      </c>
      <c r="M30" s="93">
        <v>42500</v>
      </c>
      <c r="N30" s="94">
        <v>0</v>
      </c>
      <c r="O30" s="94">
        <v>0</v>
      </c>
      <c r="P30" s="94">
        <v>0</v>
      </c>
      <c r="Q30" s="94">
        <v>0</v>
      </c>
      <c r="R30" s="94">
        <v>0</v>
      </c>
      <c r="S30" s="94">
        <v>0</v>
      </c>
      <c r="T30" s="94">
        <v>0</v>
      </c>
      <c r="U30" s="93">
        <f t="shared" si="0"/>
        <v>42500</v>
      </c>
      <c r="V30" s="95"/>
    </row>
    <row r="31" spans="1:22">
      <c r="A31" s="716"/>
      <c r="B31" s="717"/>
      <c r="C31" s="717"/>
      <c r="D31" s="54" t="s">
        <v>209</v>
      </c>
      <c r="E31" s="36" t="s">
        <v>210</v>
      </c>
      <c r="F31" s="62" t="s">
        <v>211</v>
      </c>
      <c r="G31" s="36">
        <v>42</v>
      </c>
      <c r="H31" s="93">
        <v>299</v>
      </c>
      <c r="I31" s="94">
        <v>0</v>
      </c>
      <c r="J31" s="94">
        <v>0</v>
      </c>
      <c r="K31" s="94">
        <v>0</v>
      </c>
      <c r="L31" s="94">
        <v>0</v>
      </c>
      <c r="M31" s="93">
        <v>263718</v>
      </c>
      <c r="N31" s="94">
        <v>0</v>
      </c>
      <c r="O31" s="94">
        <v>0</v>
      </c>
      <c r="P31" s="94">
        <v>0</v>
      </c>
      <c r="Q31" s="94">
        <v>0</v>
      </c>
      <c r="R31" s="94">
        <v>0</v>
      </c>
      <c r="S31" s="94">
        <v>0</v>
      </c>
      <c r="T31" s="94">
        <v>0</v>
      </c>
      <c r="U31" s="93">
        <f t="shared" si="0"/>
        <v>263718</v>
      </c>
      <c r="V31" s="95"/>
    </row>
    <row r="32" spans="1:22">
      <c r="A32" s="716"/>
      <c r="B32" s="717"/>
      <c r="C32" s="717"/>
      <c r="D32" s="54" t="s">
        <v>212</v>
      </c>
      <c r="E32" s="36" t="s">
        <v>201</v>
      </c>
      <c r="F32" s="62" t="s">
        <v>194</v>
      </c>
      <c r="G32" s="36">
        <v>1</v>
      </c>
      <c r="H32" s="93">
        <v>150</v>
      </c>
      <c r="I32" s="94">
        <v>0</v>
      </c>
      <c r="J32" s="94">
        <v>0</v>
      </c>
      <c r="K32" s="94">
        <v>0</v>
      </c>
      <c r="L32" s="94">
        <v>0</v>
      </c>
      <c r="M32" s="93">
        <v>5250</v>
      </c>
      <c r="N32" s="94">
        <v>0</v>
      </c>
      <c r="O32" s="94">
        <v>0</v>
      </c>
      <c r="P32" s="94">
        <v>0</v>
      </c>
      <c r="Q32" s="94">
        <v>0</v>
      </c>
      <c r="R32" s="94">
        <v>0</v>
      </c>
      <c r="S32" s="94">
        <v>0</v>
      </c>
      <c r="T32" s="94">
        <v>0</v>
      </c>
      <c r="U32" s="93">
        <f t="shared" si="0"/>
        <v>5250</v>
      </c>
      <c r="V32" s="95"/>
    </row>
    <row r="33" spans="1:22">
      <c r="A33" s="716"/>
      <c r="B33" s="717"/>
      <c r="C33" s="717"/>
      <c r="D33" s="54" t="s">
        <v>213</v>
      </c>
      <c r="E33" s="36" t="s">
        <v>198</v>
      </c>
      <c r="F33" s="62" t="s">
        <v>214</v>
      </c>
      <c r="G33" s="36">
        <v>40</v>
      </c>
      <c r="H33" s="93">
        <v>600</v>
      </c>
      <c r="I33" s="94">
        <v>0</v>
      </c>
      <c r="J33" s="94">
        <v>0</v>
      </c>
      <c r="K33" s="94">
        <v>0</v>
      </c>
      <c r="L33" s="94">
        <v>0</v>
      </c>
      <c r="M33" s="93">
        <v>600000</v>
      </c>
      <c r="N33" s="94">
        <v>0</v>
      </c>
      <c r="O33" s="94">
        <v>0</v>
      </c>
      <c r="P33" s="94">
        <v>0</v>
      </c>
      <c r="Q33" s="94">
        <v>0</v>
      </c>
      <c r="R33" s="94">
        <v>0</v>
      </c>
      <c r="S33" s="94">
        <v>0</v>
      </c>
      <c r="T33" s="94">
        <v>0</v>
      </c>
      <c r="U33" s="93">
        <f t="shared" si="0"/>
        <v>600000</v>
      </c>
      <c r="V33" s="95"/>
    </row>
    <row r="34" spans="1:22">
      <c r="A34" s="716"/>
      <c r="B34" s="717"/>
      <c r="C34" s="717"/>
      <c r="D34" s="37" t="s">
        <v>215</v>
      </c>
      <c r="E34" s="36" t="s">
        <v>198</v>
      </c>
      <c r="F34" s="62" t="s">
        <v>214</v>
      </c>
      <c r="G34" s="36">
        <v>40</v>
      </c>
      <c r="H34" s="93">
        <v>1000</v>
      </c>
      <c r="I34" s="94">
        <v>0</v>
      </c>
      <c r="J34" s="94">
        <v>0</v>
      </c>
      <c r="K34" s="94">
        <v>0</v>
      </c>
      <c r="L34" s="94">
        <v>0</v>
      </c>
      <c r="M34" s="93">
        <v>0</v>
      </c>
      <c r="N34" s="94">
        <v>0</v>
      </c>
      <c r="O34" s="94">
        <v>0</v>
      </c>
      <c r="P34" s="94">
        <v>0</v>
      </c>
      <c r="Q34" s="94">
        <v>0</v>
      </c>
      <c r="R34" s="94">
        <v>0</v>
      </c>
      <c r="S34" s="94">
        <v>0</v>
      </c>
      <c r="T34" s="94">
        <v>0</v>
      </c>
      <c r="U34" s="93">
        <f t="shared" si="0"/>
        <v>0</v>
      </c>
      <c r="V34" s="95"/>
    </row>
    <row r="35" spans="1:22">
      <c r="A35" s="716"/>
      <c r="B35" s="717"/>
      <c r="C35" s="717"/>
      <c r="D35" s="54" t="s">
        <v>216</v>
      </c>
      <c r="E35" s="36" t="s">
        <v>198</v>
      </c>
      <c r="F35" s="62" t="s">
        <v>214</v>
      </c>
      <c r="G35" s="36">
        <v>42</v>
      </c>
      <c r="H35" s="93">
        <v>600</v>
      </c>
      <c r="I35" s="94">
        <v>0</v>
      </c>
      <c r="J35" s="94">
        <v>0</v>
      </c>
      <c r="K35" s="94">
        <v>0</v>
      </c>
      <c r="L35" s="94">
        <v>0</v>
      </c>
      <c r="M35" s="93">
        <v>176400</v>
      </c>
      <c r="N35" s="94">
        <v>0</v>
      </c>
      <c r="O35" s="94">
        <v>0</v>
      </c>
      <c r="P35" s="94">
        <v>0</v>
      </c>
      <c r="Q35" s="94">
        <v>0</v>
      </c>
      <c r="R35" s="94">
        <v>0</v>
      </c>
      <c r="S35" s="94">
        <v>0</v>
      </c>
      <c r="T35" s="94">
        <v>0</v>
      </c>
      <c r="U35" s="93">
        <f t="shared" si="0"/>
        <v>176400</v>
      </c>
      <c r="V35" s="95"/>
    </row>
    <row r="36" spans="1:22">
      <c r="A36" s="716"/>
      <c r="B36" s="717"/>
      <c r="C36" s="717"/>
      <c r="D36" s="54" t="s">
        <v>217</v>
      </c>
      <c r="E36" s="36" t="s">
        <v>198</v>
      </c>
      <c r="F36" s="62" t="s">
        <v>194</v>
      </c>
      <c r="G36" s="36">
        <v>0</v>
      </c>
      <c r="H36" s="93">
        <v>1000</v>
      </c>
      <c r="I36" s="94">
        <v>0</v>
      </c>
      <c r="J36" s="94">
        <v>0</v>
      </c>
      <c r="K36" s="94">
        <v>0</v>
      </c>
      <c r="L36" s="94">
        <v>0</v>
      </c>
      <c r="M36" s="93">
        <v>32000</v>
      </c>
      <c r="N36" s="94">
        <v>0</v>
      </c>
      <c r="O36" s="94">
        <v>0</v>
      </c>
      <c r="P36" s="94">
        <v>0</v>
      </c>
      <c r="Q36" s="94">
        <v>0</v>
      </c>
      <c r="R36" s="94">
        <v>0</v>
      </c>
      <c r="S36" s="94">
        <v>0</v>
      </c>
      <c r="T36" s="94">
        <v>0</v>
      </c>
      <c r="U36" s="93">
        <f t="shared" si="0"/>
        <v>32000</v>
      </c>
      <c r="V36" s="95"/>
    </row>
    <row r="37" spans="1:22">
      <c r="A37" s="716"/>
      <c r="B37" s="717"/>
      <c r="C37" s="717"/>
      <c r="D37" s="54" t="s">
        <v>218</v>
      </c>
      <c r="E37" s="36" t="s">
        <v>219</v>
      </c>
      <c r="F37" s="62" t="s">
        <v>194</v>
      </c>
      <c r="G37" s="36">
        <v>2</v>
      </c>
      <c r="H37" s="93">
        <v>240</v>
      </c>
      <c r="I37" s="94">
        <v>0</v>
      </c>
      <c r="J37" s="94">
        <v>0</v>
      </c>
      <c r="K37" s="94">
        <v>0</v>
      </c>
      <c r="L37" s="94">
        <v>0</v>
      </c>
      <c r="M37" s="93">
        <v>7680</v>
      </c>
      <c r="N37" s="94">
        <v>0</v>
      </c>
      <c r="O37" s="94">
        <v>0</v>
      </c>
      <c r="P37" s="94">
        <v>0</v>
      </c>
      <c r="Q37" s="94">
        <v>0</v>
      </c>
      <c r="R37" s="94">
        <v>0</v>
      </c>
      <c r="S37" s="94">
        <v>0</v>
      </c>
      <c r="T37" s="94">
        <v>0</v>
      </c>
      <c r="U37" s="93">
        <f t="shared" si="0"/>
        <v>7680</v>
      </c>
      <c r="V37" s="95"/>
    </row>
    <row r="38" spans="1:22">
      <c r="A38" s="716"/>
      <c r="B38" s="717"/>
      <c r="C38" s="717"/>
      <c r="D38" s="54" t="s">
        <v>220</v>
      </c>
      <c r="E38" s="36" t="s">
        <v>188</v>
      </c>
      <c r="F38" s="62" t="s">
        <v>214</v>
      </c>
      <c r="G38" s="36">
        <v>40</v>
      </c>
      <c r="H38" s="93">
        <v>500</v>
      </c>
      <c r="I38" s="94">
        <v>0</v>
      </c>
      <c r="J38" s="94">
        <v>0</v>
      </c>
      <c r="K38" s="94">
        <v>0</v>
      </c>
      <c r="L38" s="94">
        <v>0</v>
      </c>
      <c r="M38" s="93">
        <v>700000</v>
      </c>
      <c r="N38" s="94">
        <v>0</v>
      </c>
      <c r="O38" s="94">
        <v>0</v>
      </c>
      <c r="P38" s="94">
        <v>0</v>
      </c>
      <c r="Q38" s="94">
        <v>0</v>
      </c>
      <c r="R38" s="94">
        <v>0</v>
      </c>
      <c r="S38" s="94">
        <v>0</v>
      </c>
      <c r="T38" s="94">
        <v>0</v>
      </c>
      <c r="U38" s="93">
        <f t="shared" si="0"/>
        <v>700000</v>
      </c>
      <c r="V38" s="95"/>
    </row>
    <row r="39" spans="1:22">
      <c r="A39" s="716"/>
      <c r="B39" s="717"/>
      <c r="C39" s="717"/>
      <c r="D39" s="54" t="s">
        <v>221</v>
      </c>
      <c r="E39" s="36" t="s">
        <v>188</v>
      </c>
      <c r="F39" s="62" t="s">
        <v>214</v>
      </c>
      <c r="G39" s="36">
        <v>42</v>
      </c>
      <c r="H39" s="93">
        <v>500</v>
      </c>
      <c r="I39" s="94">
        <v>0</v>
      </c>
      <c r="J39" s="94">
        <v>0</v>
      </c>
      <c r="K39" s="94">
        <v>0</v>
      </c>
      <c r="L39" s="94">
        <v>0</v>
      </c>
      <c r="M39" s="93">
        <v>147000</v>
      </c>
      <c r="N39" s="94">
        <v>0</v>
      </c>
      <c r="O39" s="94">
        <v>0</v>
      </c>
      <c r="P39" s="94">
        <v>0</v>
      </c>
      <c r="Q39" s="94">
        <v>0</v>
      </c>
      <c r="R39" s="94">
        <v>0</v>
      </c>
      <c r="S39" s="94">
        <v>0</v>
      </c>
      <c r="T39" s="94">
        <v>0</v>
      </c>
      <c r="U39" s="93">
        <f t="shared" si="0"/>
        <v>147000</v>
      </c>
      <c r="V39" s="95"/>
    </row>
    <row r="40" spans="1:22" ht="57">
      <c r="A40" s="707"/>
      <c r="B40" s="34" t="s">
        <v>171</v>
      </c>
      <c r="C40" s="34" t="s">
        <v>186</v>
      </c>
      <c r="D40" s="34" t="s">
        <v>222</v>
      </c>
      <c r="E40" s="36" t="s">
        <v>223</v>
      </c>
      <c r="F40" s="36" t="s">
        <v>150</v>
      </c>
      <c r="G40" s="36">
        <v>20</v>
      </c>
      <c r="H40" s="93">
        <v>2000</v>
      </c>
      <c r="I40" s="94">
        <v>0</v>
      </c>
      <c r="J40" s="94">
        <v>0</v>
      </c>
      <c r="K40" s="94">
        <v>0</v>
      </c>
      <c r="L40" s="94">
        <v>0</v>
      </c>
      <c r="M40" s="93">
        <f>+G40*H40</f>
        <v>40000</v>
      </c>
      <c r="N40" s="94">
        <v>0</v>
      </c>
      <c r="O40" s="94">
        <v>0</v>
      </c>
      <c r="P40" s="94">
        <v>0</v>
      </c>
      <c r="Q40" s="94">
        <v>0</v>
      </c>
      <c r="R40" s="94">
        <v>0</v>
      </c>
      <c r="S40" s="94">
        <v>0</v>
      </c>
      <c r="T40" s="94">
        <v>0</v>
      </c>
      <c r="U40" s="93">
        <f t="shared" si="0"/>
        <v>40000</v>
      </c>
      <c r="V40" s="95"/>
    </row>
    <row r="41" spans="1:22" ht="57">
      <c r="A41" s="96" t="s">
        <v>177</v>
      </c>
      <c r="B41" s="96" t="s">
        <v>181</v>
      </c>
      <c r="C41" s="97" t="s">
        <v>186</v>
      </c>
      <c r="D41" s="30" t="s">
        <v>206</v>
      </c>
      <c r="E41" s="32" t="s">
        <v>207</v>
      </c>
      <c r="F41" s="32" t="s">
        <v>224</v>
      </c>
      <c r="G41" s="32">
        <v>65930</v>
      </c>
      <c r="H41" s="98">
        <v>5</v>
      </c>
      <c r="I41" s="99">
        <v>0</v>
      </c>
      <c r="J41" s="99">
        <v>0</v>
      </c>
      <c r="K41" s="99">
        <v>0</v>
      </c>
      <c r="L41" s="99">
        <v>0</v>
      </c>
      <c r="M41" s="98">
        <f>+G41*H41</f>
        <v>329650</v>
      </c>
      <c r="N41" s="99">
        <v>0</v>
      </c>
      <c r="O41" s="99">
        <v>0</v>
      </c>
      <c r="P41" s="99">
        <v>0</v>
      </c>
      <c r="Q41" s="99">
        <v>0</v>
      </c>
      <c r="R41" s="99">
        <v>0</v>
      </c>
      <c r="S41" s="99">
        <v>0</v>
      </c>
      <c r="T41" s="99">
        <v>0</v>
      </c>
      <c r="U41" s="92">
        <f t="shared" ref="U41" si="1">+SUM(I41:T41)</f>
        <v>329650</v>
      </c>
      <c r="V41" s="73"/>
    </row>
    <row r="42" spans="1:22" ht="15.75">
      <c r="A42" s="711" t="s">
        <v>225</v>
      </c>
      <c r="B42" s="712"/>
      <c r="C42" s="712"/>
      <c r="D42" s="712"/>
      <c r="E42" s="712"/>
      <c r="F42" s="712"/>
      <c r="G42" s="712"/>
      <c r="H42" s="713"/>
      <c r="I42" s="100">
        <f>SUM(I17:I41)</f>
        <v>0</v>
      </c>
      <c r="J42" s="100">
        <f t="shared" ref="J42:L42" si="2">SUM(J17:J41)</f>
        <v>0</v>
      </c>
      <c r="K42" s="100">
        <f t="shared" si="2"/>
        <v>0</v>
      </c>
      <c r="L42" s="100">
        <f t="shared" si="2"/>
        <v>0</v>
      </c>
      <c r="M42" s="77">
        <f>SUM(M17:M41)</f>
        <v>3999998</v>
      </c>
      <c r="N42" s="100">
        <f>SUM(N17:N41)</f>
        <v>0</v>
      </c>
      <c r="O42" s="100">
        <f t="shared" ref="O42:T42" si="3">SUM(O17:O41)</f>
        <v>0</v>
      </c>
      <c r="P42" s="100">
        <f t="shared" si="3"/>
        <v>0</v>
      </c>
      <c r="Q42" s="100">
        <f t="shared" si="3"/>
        <v>0</v>
      </c>
      <c r="R42" s="100">
        <f t="shared" si="3"/>
        <v>0</v>
      </c>
      <c r="S42" s="100">
        <f t="shared" si="3"/>
        <v>0</v>
      </c>
      <c r="T42" s="100">
        <f t="shared" si="3"/>
        <v>0</v>
      </c>
      <c r="U42" s="77">
        <f>SUM(U17:U41)</f>
        <v>3999998</v>
      </c>
      <c r="V42" s="45"/>
    </row>
    <row r="43" spans="1:22">
      <c r="I43" s="101"/>
    </row>
  </sheetData>
  <mergeCells count="24">
    <mergeCell ref="U15:U16"/>
    <mergeCell ref="V15:V16"/>
    <mergeCell ref="A17:A40"/>
    <mergeCell ref="B17:B39"/>
    <mergeCell ref="C17:C39"/>
    <mergeCell ref="O15:Q15"/>
    <mergeCell ref="R15:T15"/>
    <mergeCell ref="A42:H42"/>
    <mergeCell ref="G15:G16"/>
    <mergeCell ref="H15:H16"/>
    <mergeCell ref="I15:K15"/>
    <mergeCell ref="L15:N15"/>
    <mergeCell ref="A15:A16"/>
    <mergeCell ref="B15:B16"/>
    <mergeCell ref="C15:C16"/>
    <mergeCell ref="D15:D16"/>
    <mergeCell ref="E15:E16"/>
    <mergeCell ref="F15:F16"/>
    <mergeCell ref="B13:V13"/>
    <mergeCell ref="A8:V8"/>
    <mergeCell ref="A9:V9"/>
    <mergeCell ref="A10:V10"/>
    <mergeCell ref="B11:V11"/>
    <mergeCell ref="B12:V12"/>
  </mergeCells>
  <pageMargins left="0.7" right="0.7" top="0.75" bottom="0.75" header="0.3" footer="0.3"/>
  <ignoredErrors>
    <ignoredError sqref="U17:U39"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D0748-6B8E-41FC-98BC-B77390BB52D5}">
  <dimension ref="A2:R42"/>
  <sheetViews>
    <sheetView showGridLines="0" workbookViewId="0">
      <selection activeCell="A14" sqref="A14"/>
    </sheetView>
  </sheetViews>
  <sheetFormatPr defaultRowHeight="15"/>
  <cols>
    <col min="1" max="1" width="32.28515625" bestFit="1" customWidth="1"/>
    <col min="2" max="2" width="16.140625" customWidth="1"/>
    <col min="3" max="3" width="11.42578125" customWidth="1"/>
    <col min="4" max="4" width="15.85546875" customWidth="1"/>
    <col min="5" max="5" width="17" customWidth="1"/>
    <col min="6" max="6" width="14.28515625" bestFit="1" customWidth="1"/>
    <col min="7" max="7" width="15.140625" customWidth="1"/>
    <col min="8" max="8" width="14.7109375" customWidth="1"/>
    <col min="9" max="10" width="13.28515625" bestFit="1" customWidth="1"/>
    <col min="11" max="11" width="14.85546875" customWidth="1"/>
    <col min="12" max="14" width="18.5703125" bestFit="1" customWidth="1"/>
    <col min="15" max="15" width="18.85546875" bestFit="1" customWidth="1"/>
    <col min="16" max="16" width="19.5703125" bestFit="1" customWidth="1"/>
    <col min="17" max="17" width="6.28515625" bestFit="1" customWidth="1"/>
    <col min="18" max="18" width="16.85546875" bestFit="1" customWidth="1"/>
  </cols>
  <sheetData>
    <row r="2" spans="1:17">
      <c r="B2" s="102" t="s">
        <v>226</v>
      </c>
      <c r="C2" s="102" t="s">
        <v>227</v>
      </c>
      <c r="D2" s="102" t="s">
        <v>228</v>
      </c>
      <c r="E2" s="102" t="s">
        <v>229</v>
      </c>
    </row>
    <row r="3" spans="1:17">
      <c r="A3" s="103" t="s">
        <v>230</v>
      </c>
      <c r="B3" s="104">
        <v>6</v>
      </c>
      <c r="C3" s="104">
        <v>6</v>
      </c>
      <c r="D3" s="104">
        <v>6</v>
      </c>
      <c r="E3" s="104">
        <v>6</v>
      </c>
      <c r="G3" s="105"/>
      <c r="H3" s="105"/>
      <c r="I3" s="105"/>
      <c r="J3" s="105"/>
    </row>
    <row r="4" spans="1:17">
      <c r="A4" s="103" t="s">
        <v>213</v>
      </c>
      <c r="B4" s="104">
        <v>25</v>
      </c>
      <c r="C4" s="104">
        <v>40</v>
      </c>
      <c r="D4" s="104">
        <v>45</v>
      </c>
      <c r="E4" s="104">
        <v>65</v>
      </c>
      <c r="G4" s="105"/>
      <c r="H4" s="105"/>
      <c r="I4" s="105"/>
      <c r="J4" s="105"/>
    </row>
    <row r="5" spans="1:17">
      <c r="A5" s="103" t="s">
        <v>215</v>
      </c>
      <c r="B5" s="104">
        <v>0</v>
      </c>
      <c r="C5" s="104">
        <v>0</v>
      </c>
      <c r="D5" s="104">
        <v>0</v>
      </c>
      <c r="E5" s="104">
        <v>0</v>
      </c>
    </row>
    <row r="6" spans="1:17">
      <c r="A6" s="103" t="s">
        <v>231</v>
      </c>
      <c r="B6" s="104">
        <f>ROUNDUP((B5/4),0)</f>
        <v>0</v>
      </c>
      <c r="C6" s="104">
        <f>ROUNDUP((C5/4),0)</f>
        <v>0</v>
      </c>
      <c r="D6" s="104">
        <f>ROUNDUP((D5/4),0)</f>
        <v>0</v>
      </c>
      <c r="E6" s="104">
        <f>ROUNDUP((E5/4),0)</f>
        <v>0</v>
      </c>
    </row>
    <row r="7" spans="1:17">
      <c r="A7" s="103" t="s">
        <v>232</v>
      </c>
      <c r="B7" s="104">
        <v>6000</v>
      </c>
      <c r="C7" s="104">
        <v>12000</v>
      </c>
      <c r="D7" s="104">
        <v>12000</v>
      </c>
      <c r="E7" s="104">
        <v>20000</v>
      </c>
    </row>
    <row r="8" spans="1:17">
      <c r="A8" s="103" t="s">
        <v>233</v>
      </c>
      <c r="B8" s="106">
        <f>+ROUNDUP((B4+B5)/4,0)</f>
        <v>7</v>
      </c>
      <c r="C8" s="106">
        <f t="shared" ref="C8:D8" si="0">+ROUNDUP((C4+C5)/4,0)</f>
        <v>10</v>
      </c>
      <c r="D8" s="106">
        <f t="shared" si="0"/>
        <v>12</v>
      </c>
      <c r="E8" s="106">
        <f>+ROUNDUP((E4+E5)/4,0)</f>
        <v>17</v>
      </c>
    </row>
    <row r="9" spans="1:17">
      <c r="A9" s="103" t="s">
        <v>216</v>
      </c>
      <c r="B9" s="106">
        <f>+B8</f>
        <v>7</v>
      </c>
      <c r="C9" s="106">
        <f>+C8</f>
        <v>10</v>
      </c>
      <c r="D9" s="106">
        <f>+D8</f>
        <v>12</v>
      </c>
      <c r="E9" s="106">
        <f>+E8</f>
        <v>17</v>
      </c>
    </row>
    <row r="10" spans="1:17">
      <c r="A10" s="103" t="s">
        <v>234</v>
      </c>
      <c r="B10" s="106">
        <f>+ROUNDUP((B7/B4/B3),0)</f>
        <v>40</v>
      </c>
      <c r="C10" s="106">
        <f>+ROUNDUP((C7/C4/C3),0)</f>
        <v>50</v>
      </c>
      <c r="D10" s="106">
        <f>+ROUNDUP((D7/D4/D3),0)</f>
        <v>45</v>
      </c>
      <c r="E10" s="106">
        <f>+ROUNDUP((E7/E4/E3),0)</f>
        <v>52</v>
      </c>
    </row>
    <row r="11" spans="1:17">
      <c r="A11" s="103" t="s">
        <v>235</v>
      </c>
      <c r="B11" s="106">
        <v>5</v>
      </c>
      <c r="C11" s="106">
        <v>5</v>
      </c>
      <c r="D11" s="106">
        <v>5</v>
      </c>
      <c r="E11" s="106">
        <v>5</v>
      </c>
    </row>
    <row r="13" spans="1:17">
      <c r="A13" s="107"/>
      <c r="B13" s="719" t="s">
        <v>236</v>
      </c>
      <c r="C13" s="719"/>
      <c r="D13" s="719"/>
      <c r="E13" s="719"/>
      <c r="H13" s="719" t="s">
        <v>237</v>
      </c>
      <c r="I13" s="719"/>
      <c r="J13" s="719"/>
      <c r="K13" s="719"/>
      <c r="L13" s="720" t="s">
        <v>13</v>
      </c>
      <c r="M13" s="720"/>
      <c r="N13" s="720"/>
      <c r="O13" s="720"/>
      <c r="P13" s="720"/>
    </row>
    <row r="14" spans="1:17" ht="30">
      <c r="A14" s="108" t="s">
        <v>238</v>
      </c>
      <c r="B14" s="102" t="s">
        <v>226</v>
      </c>
      <c r="C14" s="102" t="s">
        <v>227</v>
      </c>
      <c r="D14" s="102" t="s">
        <v>228</v>
      </c>
      <c r="E14" s="102" t="s">
        <v>229</v>
      </c>
      <c r="F14" s="109" t="s">
        <v>239</v>
      </c>
      <c r="G14" s="110" t="s">
        <v>240</v>
      </c>
      <c r="H14" s="111" t="s">
        <v>226</v>
      </c>
      <c r="I14" s="111" t="s">
        <v>227</v>
      </c>
      <c r="J14" s="111" t="s">
        <v>228</v>
      </c>
      <c r="K14" s="111" t="s">
        <v>229</v>
      </c>
      <c r="L14" s="111" t="s">
        <v>226</v>
      </c>
      <c r="M14" s="111" t="s">
        <v>227</v>
      </c>
      <c r="N14" s="111" t="s">
        <v>228</v>
      </c>
      <c r="O14" s="111" t="s">
        <v>229</v>
      </c>
      <c r="P14" s="112" t="s">
        <v>13</v>
      </c>
    </row>
    <row r="15" spans="1:17">
      <c r="A15" s="718" t="s">
        <v>241</v>
      </c>
      <c r="B15" s="718"/>
      <c r="C15" s="718"/>
      <c r="D15" s="718"/>
      <c r="E15" s="718"/>
      <c r="F15" s="718"/>
      <c r="G15" s="718"/>
      <c r="H15" s="718"/>
      <c r="I15" s="718"/>
      <c r="J15" s="718"/>
      <c r="K15" s="718"/>
      <c r="L15" s="113">
        <f>+SUM(L16:L24)</f>
        <v>244550</v>
      </c>
      <c r="M15" s="113">
        <f t="shared" ref="M15:N15" si="1">+SUM(M16:M24)</f>
        <v>401800</v>
      </c>
      <c r="N15" s="113">
        <f t="shared" si="1"/>
        <v>445450</v>
      </c>
      <c r="O15" s="113">
        <f>+SUM(O16:O24)</f>
        <v>646350</v>
      </c>
      <c r="P15" s="114">
        <f>+SUM(L15:O15)</f>
        <v>1738150</v>
      </c>
    </row>
    <row r="16" spans="1:17">
      <c r="A16" s="115" t="s">
        <v>242</v>
      </c>
      <c r="B16" s="104">
        <f>(B4+B5+B6)*1.2</f>
        <v>30</v>
      </c>
      <c r="C16" s="104">
        <f>(C4+C5+C6)*1.2</f>
        <v>48</v>
      </c>
      <c r="D16" s="104">
        <f>(D4+D5+D6)*1.2</f>
        <v>54</v>
      </c>
      <c r="E16" s="104">
        <f>(E4+E5+E6)*1.2</f>
        <v>78</v>
      </c>
      <c r="F16" s="116" t="s">
        <v>189</v>
      </c>
      <c r="G16" s="116">
        <v>200</v>
      </c>
      <c r="H16" s="117">
        <f>+B11</f>
        <v>5</v>
      </c>
      <c r="I16" s="117">
        <f>+H16</f>
        <v>5</v>
      </c>
      <c r="J16" s="117">
        <f t="shared" ref="J16:K16" si="2">+I16</f>
        <v>5</v>
      </c>
      <c r="K16" s="117">
        <f t="shared" si="2"/>
        <v>5</v>
      </c>
      <c r="L16" s="116">
        <f t="shared" ref="L16:L24" si="3">+B16*G16*H16</f>
        <v>30000</v>
      </c>
      <c r="M16" s="116">
        <f t="shared" ref="M16:M24" si="4">+C16*G16*I16</f>
        <v>48000</v>
      </c>
      <c r="N16" s="116">
        <f t="shared" ref="N16:N24" si="5">+D16*G16*J16</f>
        <v>54000</v>
      </c>
      <c r="O16" s="116">
        <f>+E16*G16*K16</f>
        <v>78000</v>
      </c>
      <c r="P16" s="116">
        <f t="shared" ref="P16:P31" si="6">+SUM(L16:O16)</f>
        <v>210000</v>
      </c>
      <c r="Q16" s="105"/>
    </row>
    <row r="17" spans="1:17">
      <c r="A17" s="115" t="s">
        <v>243</v>
      </c>
      <c r="B17" s="104">
        <f>+ROUNDUP((B16/30)*2,0)</f>
        <v>2</v>
      </c>
      <c r="C17" s="104">
        <f>+ROUNDUP((C16/30)*2,0)</f>
        <v>4</v>
      </c>
      <c r="D17" s="104">
        <f>+ROUNDUP((D16/30)*2,0)</f>
        <v>4</v>
      </c>
      <c r="E17" s="104">
        <f>+ROUNDUP((E16/30)*2,0)</f>
        <v>6</v>
      </c>
      <c r="F17" s="116" t="s">
        <v>189</v>
      </c>
      <c r="G17" s="116">
        <v>1000</v>
      </c>
      <c r="H17" s="118">
        <f>+H16</f>
        <v>5</v>
      </c>
      <c r="I17" s="117">
        <f t="shared" ref="I17:K24" si="7">+H17</f>
        <v>5</v>
      </c>
      <c r="J17" s="117">
        <f t="shared" si="7"/>
        <v>5</v>
      </c>
      <c r="K17" s="117">
        <f t="shared" si="7"/>
        <v>5</v>
      </c>
      <c r="L17" s="116">
        <f t="shared" si="3"/>
        <v>10000</v>
      </c>
      <c r="M17" s="116">
        <f t="shared" si="4"/>
        <v>20000</v>
      </c>
      <c r="N17" s="116">
        <f t="shared" si="5"/>
        <v>20000</v>
      </c>
      <c r="O17" s="116">
        <f t="shared" ref="O17:O23" si="8">+E17*G17*K17</f>
        <v>30000</v>
      </c>
      <c r="P17" s="116">
        <f t="shared" si="6"/>
        <v>80000</v>
      </c>
      <c r="Q17" s="105"/>
    </row>
    <row r="18" spans="1:17">
      <c r="A18" s="115" t="s">
        <v>244</v>
      </c>
      <c r="B18" s="104">
        <f>+B16+B17</f>
        <v>32</v>
      </c>
      <c r="C18" s="104">
        <f>+C16+C17</f>
        <v>52</v>
      </c>
      <c r="D18" s="104">
        <f>+D16+D17</f>
        <v>58</v>
      </c>
      <c r="E18" s="104">
        <f>+E16+E17</f>
        <v>84</v>
      </c>
      <c r="F18" s="116" t="s">
        <v>189</v>
      </c>
      <c r="G18" s="116">
        <v>700</v>
      </c>
      <c r="H18" s="118">
        <f>+H17</f>
        <v>5</v>
      </c>
      <c r="I18" s="117">
        <f t="shared" si="7"/>
        <v>5</v>
      </c>
      <c r="J18" s="117">
        <f t="shared" si="7"/>
        <v>5</v>
      </c>
      <c r="K18" s="117">
        <f t="shared" si="7"/>
        <v>5</v>
      </c>
      <c r="L18" s="116">
        <f t="shared" si="3"/>
        <v>112000</v>
      </c>
      <c r="M18" s="116">
        <f t="shared" si="4"/>
        <v>182000</v>
      </c>
      <c r="N18" s="116">
        <f t="shared" si="5"/>
        <v>203000</v>
      </c>
      <c r="O18" s="116">
        <f t="shared" si="8"/>
        <v>294000</v>
      </c>
      <c r="P18" s="116">
        <f t="shared" si="6"/>
        <v>791000</v>
      </c>
      <c r="Q18" s="105"/>
    </row>
    <row r="19" spans="1:17">
      <c r="A19" s="115" t="s">
        <v>245</v>
      </c>
      <c r="B19" s="104">
        <f t="shared" ref="B19:E20" si="9">+B18</f>
        <v>32</v>
      </c>
      <c r="C19" s="104">
        <f t="shared" si="9"/>
        <v>52</v>
      </c>
      <c r="D19" s="104">
        <f t="shared" si="9"/>
        <v>58</v>
      </c>
      <c r="E19" s="104">
        <f t="shared" si="9"/>
        <v>84</v>
      </c>
      <c r="F19" s="116" t="s">
        <v>194</v>
      </c>
      <c r="G19" s="116">
        <v>150</v>
      </c>
      <c r="H19" s="118">
        <v>1</v>
      </c>
      <c r="I19" s="117">
        <f t="shared" si="7"/>
        <v>1</v>
      </c>
      <c r="J19" s="117">
        <f t="shared" si="7"/>
        <v>1</v>
      </c>
      <c r="K19" s="117">
        <f t="shared" si="7"/>
        <v>1</v>
      </c>
      <c r="L19" s="116">
        <f t="shared" si="3"/>
        <v>4800</v>
      </c>
      <c r="M19" s="116">
        <f t="shared" si="4"/>
        <v>7800</v>
      </c>
      <c r="N19" s="116">
        <f t="shared" si="5"/>
        <v>8700</v>
      </c>
      <c r="O19" s="116">
        <f>+E19*G19*K19</f>
        <v>12600</v>
      </c>
      <c r="P19" s="116">
        <f t="shared" si="6"/>
        <v>33900</v>
      </c>
      <c r="Q19" s="105"/>
    </row>
    <row r="20" spans="1:17">
      <c r="A20" s="115" t="s">
        <v>246</v>
      </c>
      <c r="B20" s="104">
        <f t="shared" si="9"/>
        <v>32</v>
      </c>
      <c r="C20" s="104">
        <f t="shared" si="9"/>
        <v>52</v>
      </c>
      <c r="D20" s="104">
        <f t="shared" si="9"/>
        <v>58</v>
      </c>
      <c r="E20" s="104">
        <f t="shared" si="9"/>
        <v>84</v>
      </c>
      <c r="F20" s="116" t="s">
        <v>194</v>
      </c>
      <c r="G20" s="116">
        <v>100</v>
      </c>
      <c r="H20" s="118">
        <v>1</v>
      </c>
      <c r="I20" s="117">
        <f t="shared" si="7"/>
        <v>1</v>
      </c>
      <c r="J20" s="117">
        <f t="shared" si="7"/>
        <v>1</v>
      </c>
      <c r="K20" s="117">
        <f t="shared" si="7"/>
        <v>1</v>
      </c>
      <c r="L20" s="116">
        <f t="shared" si="3"/>
        <v>3200</v>
      </c>
      <c r="M20" s="116">
        <f t="shared" si="4"/>
        <v>5200</v>
      </c>
      <c r="N20" s="116">
        <f t="shared" si="5"/>
        <v>5800</v>
      </c>
      <c r="O20" s="116">
        <f t="shared" si="8"/>
        <v>8400</v>
      </c>
      <c r="P20" s="116">
        <f t="shared" si="6"/>
        <v>22600</v>
      </c>
      <c r="Q20" s="105"/>
    </row>
    <row r="21" spans="1:17">
      <c r="A21" s="115" t="s">
        <v>247</v>
      </c>
      <c r="B21" s="104">
        <f>+B17/2</f>
        <v>1</v>
      </c>
      <c r="C21" s="104">
        <f>+C17/2</f>
        <v>2</v>
      </c>
      <c r="D21" s="104">
        <f>+D17/2</f>
        <v>2</v>
      </c>
      <c r="E21" s="104">
        <f>+E17/2</f>
        <v>3</v>
      </c>
      <c r="F21" s="116" t="s">
        <v>189</v>
      </c>
      <c r="G21" s="116">
        <v>500</v>
      </c>
      <c r="H21" s="118">
        <f>+H16</f>
        <v>5</v>
      </c>
      <c r="I21" s="117">
        <f t="shared" si="7"/>
        <v>5</v>
      </c>
      <c r="J21" s="117">
        <f t="shared" si="7"/>
        <v>5</v>
      </c>
      <c r="K21" s="117">
        <f t="shared" si="7"/>
        <v>5</v>
      </c>
      <c r="L21" s="116">
        <f t="shared" si="3"/>
        <v>2500</v>
      </c>
      <c r="M21" s="116">
        <f t="shared" si="4"/>
        <v>5000</v>
      </c>
      <c r="N21" s="116">
        <f t="shared" si="5"/>
        <v>5000</v>
      </c>
      <c r="O21" s="116">
        <f t="shared" si="8"/>
        <v>7500</v>
      </c>
      <c r="P21" s="116">
        <f t="shared" si="6"/>
        <v>20000</v>
      </c>
      <c r="Q21" s="105"/>
    </row>
    <row r="22" spans="1:17">
      <c r="A22" s="115" t="s">
        <v>248</v>
      </c>
      <c r="B22" s="104">
        <f>+B21/2</f>
        <v>0.5</v>
      </c>
      <c r="C22" s="104">
        <f>+C21/2</f>
        <v>1</v>
      </c>
      <c r="D22" s="104">
        <f>+D21/2</f>
        <v>1</v>
      </c>
      <c r="E22" s="104">
        <f>+E21/2</f>
        <v>1.5</v>
      </c>
      <c r="F22" s="116" t="s">
        <v>189</v>
      </c>
      <c r="G22" s="116">
        <v>500</v>
      </c>
      <c r="H22" s="118">
        <f>+H21</f>
        <v>5</v>
      </c>
      <c r="I22" s="117">
        <f t="shared" si="7"/>
        <v>5</v>
      </c>
      <c r="J22" s="117">
        <f t="shared" si="7"/>
        <v>5</v>
      </c>
      <c r="K22" s="117">
        <f t="shared" si="7"/>
        <v>5</v>
      </c>
      <c r="L22" s="116">
        <f t="shared" si="3"/>
        <v>1250</v>
      </c>
      <c r="M22" s="116">
        <f t="shared" si="4"/>
        <v>2500</v>
      </c>
      <c r="N22" s="116">
        <f t="shared" si="5"/>
        <v>2500</v>
      </c>
      <c r="O22" s="116">
        <f t="shared" si="8"/>
        <v>3750</v>
      </c>
      <c r="P22" s="116">
        <f t="shared" si="6"/>
        <v>10000</v>
      </c>
      <c r="Q22" s="105"/>
    </row>
    <row r="23" spans="1:17">
      <c r="A23" s="115" t="s">
        <v>249</v>
      </c>
      <c r="B23" s="104">
        <f>+B19</f>
        <v>32</v>
      </c>
      <c r="C23" s="104">
        <f>+C19</f>
        <v>52</v>
      </c>
      <c r="D23" s="104">
        <f>+D19</f>
        <v>58</v>
      </c>
      <c r="E23" s="104">
        <f>+E19</f>
        <v>84</v>
      </c>
      <c r="F23" s="116" t="s">
        <v>194</v>
      </c>
      <c r="G23" s="116">
        <v>5</v>
      </c>
      <c r="H23" s="118">
        <f>+H22</f>
        <v>5</v>
      </c>
      <c r="I23" s="117">
        <f t="shared" si="7"/>
        <v>5</v>
      </c>
      <c r="J23" s="117">
        <f t="shared" si="7"/>
        <v>5</v>
      </c>
      <c r="K23" s="117">
        <f t="shared" si="7"/>
        <v>5</v>
      </c>
      <c r="L23" s="116">
        <f t="shared" si="3"/>
        <v>800</v>
      </c>
      <c r="M23" s="116">
        <f t="shared" si="4"/>
        <v>1300</v>
      </c>
      <c r="N23" s="116">
        <f t="shared" si="5"/>
        <v>1450</v>
      </c>
      <c r="O23" s="116">
        <f t="shared" si="8"/>
        <v>2100</v>
      </c>
      <c r="P23" s="116">
        <f t="shared" si="6"/>
        <v>5650</v>
      </c>
      <c r="Q23" s="105"/>
    </row>
    <row r="24" spans="1:17">
      <c r="A24" s="115" t="s">
        <v>250</v>
      </c>
      <c r="B24" s="104">
        <f>+B23</f>
        <v>32</v>
      </c>
      <c r="C24" s="104">
        <f>+C23</f>
        <v>52</v>
      </c>
      <c r="D24" s="104">
        <f>+D23</f>
        <v>58</v>
      </c>
      <c r="E24" s="104">
        <f>+E23</f>
        <v>84</v>
      </c>
      <c r="F24" s="116" t="s">
        <v>194</v>
      </c>
      <c r="G24" s="116">
        <v>500</v>
      </c>
      <c r="H24" s="118">
        <f>+H23</f>
        <v>5</v>
      </c>
      <c r="I24" s="117">
        <f t="shared" si="7"/>
        <v>5</v>
      </c>
      <c r="J24" s="117">
        <f t="shared" si="7"/>
        <v>5</v>
      </c>
      <c r="K24" s="117">
        <f t="shared" si="7"/>
        <v>5</v>
      </c>
      <c r="L24" s="116">
        <f t="shared" si="3"/>
        <v>80000</v>
      </c>
      <c r="M24" s="116">
        <f t="shared" si="4"/>
        <v>130000</v>
      </c>
      <c r="N24" s="116">
        <f t="shared" si="5"/>
        <v>145000</v>
      </c>
      <c r="O24" s="116">
        <f>+E24*G24*K24</f>
        <v>210000</v>
      </c>
      <c r="P24" s="116">
        <f t="shared" si="6"/>
        <v>565000</v>
      </c>
      <c r="Q24" s="105"/>
    </row>
    <row r="25" spans="1:17">
      <c r="A25" s="718" t="s">
        <v>251</v>
      </c>
      <c r="B25" s="718"/>
      <c r="C25" s="718"/>
      <c r="D25" s="718"/>
      <c r="E25" s="718"/>
      <c r="F25" s="718"/>
      <c r="G25" s="718"/>
      <c r="H25" s="718"/>
      <c r="I25" s="718"/>
      <c r="J25" s="718"/>
      <c r="K25" s="718"/>
      <c r="L25" s="113">
        <f>+SUM(L26:L33)</f>
        <v>1669468</v>
      </c>
      <c r="M25" s="113">
        <f>+SUM(M26:M33)</f>
        <v>2875500</v>
      </c>
      <c r="N25" s="113">
        <f>+SUM(N26:N33)</f>
        <v>3129625</v>
      </c>
      <c r="O25" s="113">
        <f>+SUM(O26:O33)</f>
        <v>5146000</v>
      </c>
      <c r="P25" s="114">
        <f>+SUM(L25:O25)</f>
        <v>12820593</v>
      </c>
      <c r="Q25" s="105"/>
    </row>
    <row r="26" spans="1:17">
      <c r="A26" s="115" t="s">
        <v>252</v>
      </c>
      <c r="B26" s="119">
        <f>+B4+B5+B6+10</f>
        <v>35</v>
      </c>
      <c r="C26" s="119">
        <f>+C4+C5+C6+10</f>
        <v>50</v>
      </c>
      <c r="D26" s="119">
        <f>+D4+D5+D6+10</f>
        <v>55</v>
      </c>
      <c r="E26" s="119">
        <f>+E4+E5+E6+10</f>
        <v>75</v>
      </c>
      <c r="F26" s="116" t="s">
        <v>194</v>
      </c>
      <c r="G26" s="116">
        <v>250</v>
      </c>
      <c r="H26" s="118">
        <v>1</v>
      </c>
      <c r="I26" s="118">
        <v>1</v>
      </c>
      <c r="J26" s="118">
        <v>1</v>
      </c>
      <c r="K26" s="118">
        <v>1</v>
      </c>
      <c r="L26" s="120">
        <f>+B26*G$26*H26</f>
        <v>8750</v>
      </c>
      <c r="M26" s="120">
        <f>+C26*G$26*I26</f>
        <v>12500</v>
      </c>
      <c r="N26" s="120">
        <f>+D26*G$26*J26</f>
        <v>13750</v>
      </c>
      <c r="O26" s="120">
        <f>+E26*G$26*K26</f>
        <v>18750</v>
      </c>
      <c r="P26" s="120">
        <f t="shared" si="6"/>
        <v>53750</v>
      </c>
      <c r="Q26" s="105"/>
    </row>
    <row r="27" spans="1:17">
      <c r="A27" s="115" t="s">
        <v>253</v>
      </c>
      <c r="B27" s="119">
        <f>+B26</f>
        <v>35</v>
      </c>
      <c r="C27" s="119">
        <f>+C26</f>
        <v>50</v>
      </c>
      <c r="D27" s="119">
        <f>+D26</f>
        <v>55</v>
      </c>
      <c r="E27" s="119">
        <f>+E26</f>
        <v>75</v>
      </c>
      <c r="F27" s="116" t="s">
        <v>194</v>
      </c>
      <c r="G27" s="116">
        <v>150</v>
      </c>
      <c r="H27" s="118">
        <v>1</v>
      </c>
      <c r="I27" s="118">
        <v>1</v>
      </c>
      <c r="J27" s="118">
        <v>1</v>
      </c>
      <c r="K27" s="118">
        <v>1</v>
      </c>
      <c r="L27" s="120">
        <f t="shared" ref="L27:L33" si="10">+B27*G27*H27</f>
        <v>5250</v>
      </c>
      <c r="M27" s="120">
        <f>+C27*G$26*I27</f>
        <v>12500</v>
      </c>
      <c r="N27" s="120">
        <f>+D27*G$26*J27</f>
        <v>13750</v>
      </c>
      <c r="O27" s="120">
        <f>+E27*G$26*K27</f>
        <v>18750</v>
      </c>
      <c r="P27" s="120">
        <f t="shared" si="6"/>
        <v>50250</v>
      </c>
      <c r="Q27" s="105"/>
    </row>
    <row r="28" spans="1:17">
      <c r="A28" s="115" t="s">
        <v>254</v>
      </c>
      <c r="B28" s="119">
        <f>+B26*2</f>
        <v>70</v>
      </c>
      <c r="C28" s="119">
        <f>+C26*2</f>
        <v>100</v>
      </c>
      <c r="D28" s="119">
        <f>+D26*2</f>
        <v>110</v>
      </c>
      <c r="E28" s="119">
        <f>+E26*2</f>
        <v>150</v>
      </c>
      <c r="F28" s="116" t="s">
        <v>194</v>
      </c>
      <c r="G28" s="116">
        <v>200</v>
      </c>
      <c r="H28" s="118">
        <v>1</v>
      </c>
      <c r="I28" s="118">
        <v>1</v>
      </c>
      <c r="J28" s="118">
        <v>1</v>
      </c>
      <c r="K28" s="118">
        <v>1</v>
      </c>
      <c r="L28" s="120">
        <f t="shared" si="10"/>
        <v>14000</v>
      </c>
      <c r="M28" s="120">
        <f>+C28*G$26*I28</f>
        <v>25000</v>
      </c>
      <c r="N28" s="120">
        <f>+D28*G$26*J28</f>
        <v>27500</v>
      </c>
      <c r="O28" s="120">
        <f>+E28*G$26*K28</f>
        <v>37500</v>
      </c>
      <c r="P28" s="120">
        <f t="shared" si="6"/>
        <v>104000</v>
      </c>
      <c r="Q28" s="105"/>
    </row>
    <row r="29" spans="1:17">
      <c r="A29" s="115" t="s">
        <v>255</v>
      </c>
      <c r="B29" s="119">
        <f>+B26</f>
        <v>35</v>
      </c>
      <c r="C29" s="119">
        <f>+C26</f>
        <v>50</v>
      </c>
      <c r="D29" s="119">
        <f>+D26</f>
        <v>55</v>
      </c>
      <c r="E29" s="119">
        <f>+E26</f>
        <v>75</v>
      </c>
      <c r="F29" s="116" t="s">
        <v>194</v>
      </c>
      <c r="G29" s="116">
        <v>5</v>
      </c>
      <c r="H29" s="118">
        <f>+B10</f>
        <v>40</v>
      </c>
      <c r="I29" s="118">
        <f t="shared" ref="I29:K29" si="11">+C10</f>
        <v>50</v>
      </c>
      <c r="J29" s="118">
        <f t="shared" si="11"/>
        <v>45</v>
      </c>
      <c r="K29" s="118">
        <f t="shared" si="11"/>
        <v>52</v>
      </c>
      <c r="L29" s="120">
        <f t="shared" si="10"/>
        <v>7000</v>
      </c>
      <c r="M29" s="120">
        <f>+C29*G$29*I29</f>
        <v>12500</v>
      </c>
      <c r="N29" s="120">
        <f>+D29*G$29*J29</f>
        <v>12375</v>
      </c>
      <c r="O29" s="120">
        <f>+E29*G$29*K29</f>
        <v>19500</v>
      </c>
      <c r="P29" s="120">
        <f>+SUM(L29:O29)</f>
        <v>51375</v>
      </c>
      <c r="Q29" s="105"/>
    </row>
    <row r="30" spans="1:17">
      <c r="A30" s="115" t="s">
        <v>256</v>
      </c>
      <c r="B30" s="119">
        <f>+B8</f>
        <v>7</v>
      </c>
      <c r="C30" s="119">
        <f>+C8</f>
        <v>10</v>
      </c>
      <c r="D30" s="119">
        <f>+D8</f>
        <v>12</v>
      </c>
      <c r="E30" s="119">
        <f>+E8</f>
        <v>17</v>
      </c>
      <c r="F30" s="116" t="s">
        <v>194</v>
      </c>
      <c r="G30" s="116">
        <v>4500</v>
      </c>
      <c r="H30" s="118">
        <f>+B10+2</f>
        <v>42</v>
      </c>
      <c r="I30" s="118">
        <f t="shared" ref="I30:K30" si="12">+C10+2</f>
        <v>52</v>
      </c>
      <c r="J30" s="118">
        <f t="shared" si="12"/>
        <v>47</v>
      </c>
      <c r="K30" s="118">
        <f t="shared" si="12"/>
        <v>54</v>
      </c>
      <c r="L30" s="120">
        <f t="shared" si="10"/>
        <v>1323000</v>
      </c>
      <c r="M30" s="120">
        <f>+C30*G$30*I30</f>
        <v>2340000</v>
      </c>
      <c r="N30" s="120">
        <f>+D30*G$30*J30</f>
        <v>2538000</v>
      </c>
      <c r="O30" s="120">
        <f>+E30*G$30*K30</f>
        <v>4131000</v>
      </c>
      <c r="P30" s="120">
        <f>+SUM(L30:O30)</f>
        <v>10332000</v>
      </c>
      <c r="Q30" s="105"/>
    </row>
    <row r="31" spans="1:17">
      <c r="A31" s="115" t="s">
        <v>257</v>
      </c>
      <c r="B31" s="119">
        <f>+B4+B5+B6</f>
        <v>25</v>
      </c>
      <c r="C31" s="119">
        <f>+C4+C5+C6</f>
        <v>40</v>
      </c>
      <c r="D31" s="119">
        <f>+D4+D5+D6</f>
        <v>45</v>
      </c>
      <c r="E31" s="119">
        <v>110</v>
      </c>
      <c r="F31" s="116" t="s">
        <v>208</v>
      </c>
      <c r="G31" s="120">
        <v>850</v>
      </c>
      <c r="H31" s="121">
        <f>+ROUNDUP((B10/30),0)</f>
        <v>2</v>
      </c>
      <c r="I31" s="121">
        <f t="shared" ref="I31:K31" si="13">+ROUNDUP((C10/30),0)</f>
        <v>2</v>
      </c>
      <c r="J31" s="121">
        <f t="shared" si="13"/>
        <v>2</v>
      </c>
      <c r="K31" s="121">
        <f t="shared" si="13"/>
        <v>2</v>
      </c>
      <c r="L31" s="120">
        <f t="shared" si="10"/>
        <v>42500</v>
      </c>
      <c r="M31" s="120">
        <f>+C31*G$31*I31</f>
        <v>68000</v>
      </c>
      <c r="N31" s="120">
        <f>+D31*G$31*J31</f>
        <v>76500</v>
      </c>
      <c r="O31" s="120">
        <f>+E31*G$31*K31</f>
        <v>187000</v>
      </c>
      <c r="P31" s="120">
        <f t="shared" si="6"/>
        <v>374000</v>
      </c>
      <c r="Q31" s="105"/>
    </row>
    <row r="32" spans="1:17">
      <c r="A32" s="115" t="s">
        <v>258</v>
      </c>
      <c r="B32" s="104">
        <f>3*B30</f>
        <v>21</v>
      </c>
      <c r="C32" s="104">
        <f t="shared" ref="C32:E32" si="14">3*C30</f>
        <v>30</v>
      </c>
      <c r="D32" s="104">
        <f t="shared" si="14"/>
        <v>36</v>
      </c>
      <c r="E32" s="104">
        <f t="shared" si="14"/>
        <v>51</v>
      </c>
      <c r="F32" s="116" t="s">
        <v>211</v>
      </c>
      <c r="G32" s="120">
        <v>299</v>
      </c>
      <c r="H32" s="121">
        <f>+B10+2</f>
        <v>42</v>
      </c>
      <c r="I32" s="121">
        <f t="shared" ref="I32:K32" si="15">+C10+2</f>
        <v>52</v>
      </c>
      <c r="J32" s="121">
        <f t="shared" si="15"/>
        <v>47</v>
      </c>
      <c r="K32" s="121">
        <f t="shared" si="15"/>
        <v>54</v>
      </c>
      <c r="L32" s="120">
        <f t="shared" si="10"/>
        <v>263718</v>
      </c>
      <c r="M32" s="120">
        <f>+C32*G$26*I32</f>
        <v>390000</v>
      </c>
      <c r="N32" s="120">
        <f>+D32*G$26*J32</f>
        <v>423000</v>
      </c>
      <c r="O32" s="120">
        <f>+E32*G$26*K32</f>
        <v>688500</v>
      </c>
      <c r="P32" s="120">
        <f t="shared" ref="P32:P42" si="16">+SUM(L32:O32)</f>
        <v>1765218</v>
      </c>
      <c r="Q32" s="105"/>
    </row>
    <row r="33" spans="1:18">
      <c r="A33" s="115" t="s">
        <v>259</v>
      </c>
      <c r="B33" s="104">
        <f>+B26</f>
        <v>35</v>
      </c>
      <c r="C33" s="104">
        <f>+C26</f>
        <v>50</v>
      </c>
      <c r="D33" s="104">
        <f>+D26</f>
        <v>55</v>
      </c>
      <c r="E33" s="104">
        <f>+E26</f>
        <v>75</v>
      </c>
      <c r="F33" s="116" t="s">
        <v>194</v>
      </c>
      <c r="G33" s="120">
        <v>150</v>
      </c>
      <c r="H33" s="121">
        <v>1</v>
      </c>
      <c r="I33" s="121">
        <v>2</v>
      </c>
      <c r="J33" s="121">
        <v>3</v>
      </c>
      <c r="K33" s="121">
        <v>4</v>
      </c>
      <c r="L33" s="120">
        <f t="shared" si="10"/>
        <v>5250</v>
      </c>
      <c r="M33" s="120">
        <f>+C33*G$33*I33</f>
        <v>15000</v>
      </c>
      <c r="N33" s="120">
        <f>+D33*G$33*J33</f>
        <v>24750</v>
      </c>
      <c r="O33" s="120">
        <f>+E33*G$33*K33</f>
        <v>45000</v>
      </c>
      <c r="P33" s="120">
        <f t="shared" si="16"/>
        <v>90000</v>
      </c>
      <c r="Q33" s="105"/>
    </row>
    <row r="34" spans="1:18">
      <c r="A34" s="718" t="s">
        <v>260</v>
      </c>
      <c r="B34" s="718"/>
      <c r="C34" s="718"/>
      <c r="D34" s="718"/>
      <c r="E34" s="718"/>
      <c r="F34" s="718"/>
      <c r="G34" s="718"/>
      <c r="H34" s="718"/>
      <c r="I34" s="718"/>
      <c r="J34" s="718"/>
      <c r="K34" s="718"/>
      <c r="L34" s="113">
        <f>+SUM(L35:L41)</f>
        <v>1663080</v>
      </c>
      <c r="M34" s="113">
        <f>+SUM(M35:M41)</f>
        <v>3096000</v>
      </c>
      <c r="N34" s="113">
        <f>+SUM(N35:N41)</f>
        <v>3157260</v>
      </c>
      <c r="O34" s="113">
        <f>+SUM(O35:O41)</f>
        <v>5109160</v>
      </c>
      <c r="P34" s="114">
        <f t="shared" si="16"/>
        <v>13025500</v>
      </c>
      <c r="Q34" s="105"/>
    </row>
    <row r="35" spans="1:18">
      <c r="A35" s="115" t="s">
        <v>261</v>
      </c>
      <c r="B35" s="104">
        <f t="shared" ref="B35:E36" si="17">+B4</f>
        <v>25</v>
      </c>
      <c r="C35" s="104">
        <f t="shared" si="17"/>
        <v>40</v>
      </c>
      <c r="D35" s="104">
        <f t="shared" si="17"/>
        <v>45</v>
      </c>
      <c r="E35" s="104">
        <f t="shared" si="17"/>
        <v>65</v>
      </c>
      <c r="F35" s="116" t="s">
        <v>214</v>
      </c>
      <c r="G35" s="116">
        <v>600</v>
      </c>
      <c r="H35" s="118">
        <f>+B10</f>
        <v>40</v>
      </c>
      <c r="I35" s="118">
        <f>+C10</f>
        <v>50</v>
      </c>
      <c r="J35" s="118">
        <f>+D10</f>
        <v>45</v>
      </c>
      <c r="K35" s="118">
        <f>+E10</f>
        <v>52</v>
      </c>
      <c r="L35" s="116">
        <f>+G35*B35*H35</f>
        <v>600000</v>
      </c>
      <c r="M35" s="116">
        <f t="shared" ref="M35:M41" si="18">+C35*G35*I35</f>
        <v>1200000</v>
      </c>
      <c r="N35" s="116">
        <f t="shared" ref="N35:N41" si="19">+D35*G35*J35</f>
        <v>1215000</v>
      </c>
      <c r="O35" s="116">
        <f>+E35*G35*K35</f>
        <v>2028000</v>
      </c>
      <c r="P35" s="116">
        <f t="shared" si="16"/>
        <v>5043000</v>
      </c>
      <c r="Q35" s="105"/>
      <c r="R35" s="122"/>
    </row>
    <row r="36" spans="1:18">
      <c r="A36" s="115" t="s">
        <v>262</v>
      </c>
      <c r="B36" s="104">
        <f t="shared" si="17"/>
        <v>0</v>
      </c>
      <c r="C36" s="104">
        <f t="shared" si="17"/>
        <v>0</v>
      </c>
      <c r="D36" s="104">
        <f t="shared" si="17"/>
        <v>0</v>
      </c>
      <c r="E36" s="104">
        <f t="shared" si="17"/>
        <v>0</v>
      </c>
      <c r="F36" s="116" t="s">
        <v>214</v>
      </c>
      <c r="G36" s="116">
        <v>1000</v>
      </c>
      <c r="H36" s="118">
        <f>+B10</f>
        <v>40</v>
      </c>
      <c r="I36" s="118">
        <f>+C10</f>
        <v>50</v>
      </c>
      <c r="J36" s="118">
        <f>+D10</f>
        <v>45</v>
      </c>
      <c r="K36" s="118">
        <f>+E10</f>
        <v>52</v>
      </c>
      <c r="L36" s="116">
        <f>+G36*B36*H36</f>
        <v>0</v>
      </c>
      <c r="M36" s="116">
        <f t="shared" si="18"/>
        <v>0</v>
      </c>
      <c r="N36" s="116">
        <f t="shared" si="19"/>
        <v>0</v>
      </c>
      <c r="O36" s="116">
        <f t="shared" ref="O36:O41" si="20">+E36*G36*K36</f>
        <v>0</v>
      </c>
      <c r="P36" s="116">
        <f t="shared" si="16"/>
        <v>0</v>
      </c>
      <c r="Q36" s="105"/>
      <c r="R36" s="122"/>
    </row>
    <row r="37" spans="1:18">
      <c r="A37" s="115" t="s">
        <v>263</v>
      </c>
      <c r="B37" s="104">
        <f>+B9</f>
        <v>7</v>
      </c>
      <c r="C37" s="104">
        <f>+C9</f>
        <v>10</v>
      </c>
      <c r="D37" s="104">
        <f>+D9</f>
        <v>12</v>
      </c>
      <c r="E37" s="104">
        <f>+E9</f>
        <v>17</v>
      </c>
      <c r="F37" s="116" t="s">
        <v>214</v>
      </c>
      <c r="G37" s="116">
        <v>600</v>
      </c>
      <c r="H37" s="118">
        <f>+H36+2</f>
        <v>42</v>
      </c>
      <c r="I37" s="118">
        <f>+I36+2</f>
        <v>52</v>
      </c>
      <c r="J37" s="118">
        <f>+J36+2</f>
        <v>47</v>
      </c>
      <c r="K37" s="118">
        <f>+K36+2</f>
        <v>54</v>
      </c>
      <c r="L37" s="116">
        <f>+G37*B37*H37</f>
        <v>176400</v>
      </c>
      <c r="M37" s="116">
        <f t="shared" si="18"/>
        <v>312000</v>
      </c>
      <c r="N37" s="116">
        <f t="shared" si="19"/>
        <v>338400</v>
      </c>
      <c r="O37" s="116">
        <f t="shared" si="20"/>
        <v>550800</v>
      </c>
      <c r="P37" s="116">
        <f t="shared" si="16"/>
        <v>1377600</v>
      </c>
      <c r="Q37" s="105"/>
      <c r="R37" s="122"/>
    </row>
    <row r="38" spans="1:18">
      <c r="A38" s="115" t="s">
        <v>264</v>
      </c>
      <c r="B38" s="104">
        <f>+B35+B36+B37</f>
        <v>32</v>
      </c>
      <c r="C38" s="104">
        <f>+C35+C36+C37</f>
        <v>50</v>
      </c>
      <c r="D38" s="104">
        <f>+D35+D36+D37</f>
        <v>57</v>
      </c>
      <c r="E38" s="104">
        <f>+E35+E36+E37</f>
        <v>82</v>
      </c>
      <c r="F38" s="116" t="s">
        <v>194</v>
      </c>
      <c r="G38" s="116">
        <v>1000</v>
      </c>
      <c r="H38" s="118">
        <v>0</v>
      </c>
      <c r="I38" s="118">
        <v>1</v>
      </c>
      <c r="J38" s="118">
        <v>1</v>
      </c>
      <c r="K38" s="118">
        <v>1</v>
      </c>
      <c r="L38" s="116">
        <f>+B38*G38</f>
        <v>32000</v>
      </c>
      <c r="M38" s="116">
        <f t="shared" si="18"/>
        <v>50000</v>
      </c>
      <c r="N38" s="116">
        <f t="shared" si="19"/>
        <v>57000</v>
      </c>
      <c r="O38" s="116">
        <f t="shared" si="20"/>
        <v>82000</v>
      </c>
      <c r="P38" s="116">
        <f t="shared" si="16"/>
        <v>221000</v>
      </c>
      <c r="Q38" s="105"/>
      <c r="R38" s="122"/>
    </row>
    <row r="39" spans="1:18">
      <c r="A39" s="115" t="s">
        <v>265</v>
      </c>
      <c r="B39" s="104">
        <f>+B38</f>
        <v>32</v>
      </c>
      <c r="C39" s="104">
        <f>+C38</f>
        <v>50</v>
      </c>
      <c r="D39" s="104">
        <f>+D38</f>
        <v>57</v>
      </c>
      <c r="E39" s="104">
        <f>+E38</f>
        <v>82</v>
      </c>
      <c r="F39" s="116" t="s">
        <v>194</v>
      </c>
      <c r="G39" s="116">
        <v>240</v>
      </c>
      <c r="H39" s="118">
        <v>2</v>
      </c>
      <c r="I39" s="118">
        <v>2</v>
      </c>
      <c r="J39" s="118">
        <v>2</v>
      </c>
      <c r="K39" s="118">
        <v>2</v>
      </c>
      <c r="L39" s="116">
        <f>+B39*G39</f>
        <v>7680</v>
      </c>
      <c r="M39" s="116">
        <f t="shared" si="18"/>
        <v>24000</v>
      </c>
      <c r="N39" s="116">
        <f t="shared" si="19"/>
        <v>27360</v>
      </c>
      <c r="O39" s="116">
        <f t="shared" si="20"/>
        <v>39360</v>
      </c>
      <c r="P39" s="116">
        <f t="shared" si="16"/>
        <v>98400</v>
      </c>
      <c r="Q39" s="105"/>
      <c r="R39" s="122"/>
    </row>
    <row r="40" spans="1:18">
      <c r="A40" s="115" t="s">
        <v>266</v>
      </c>
      <c r="B40" s="104">
        <f>+B35+B36+10</f>
        <v>35</v>
      </c>
      <c r="C40" s="104">
        <f>+C35+C36+10</f>
        <v>50</v>
      </c>
      <c r="D40" s="104">
        <f>+D35+D36+10</f>
        <v>55</v>
      </c>
      <c r="E40" s="104">
        <f>+E35+E36+10</f>
        <v>75</v>
      </c>
      <c r="F40" s="116" t="s">
        <v>214</v>
      </c>
      <c r="G40" s="116">
        <v>500</v>
      </c>
      <c r="H40" s="118">
        <f>+B10</f>
        <v>40</v>
      </c>
      <c r="I40" s="118">
        <f>+C10</f>
        <v>50</v>
      </c>
      <c r="J40" s="118">
        <f>+D10</f>
        <v>45</v>
      </c>
      <c r="K40" s="118">
        <f>+E10</f>
        <v>52</v>
      </c>
      <c r="L40" s="116">
        <f>+B40*G40*H40</f>
        <v>700000</v>
      </c>
      <c r="M40" s="116">
        <f t="shared" si="18"/>
        <v>1250000</v>
      </c>
      <c r="N40" s="116">
        <f t="shared" si="19"/>
        <v>1237500</v>
      </c>
      <c r="O40" s="116">
        <f>+E40*G40*K40</f>
        <v>1950000</v>
      </c>
      <c r="P40" s="116">
        <f t="shared" si="16"/>
        <v>5137500</v>
      </c>
      <c r="Q40" s="105"/>
      <c r="R40" s="122"/>
    </row>
    <row r="41" spans="1:18">
      <c r="A41" s="115" t="s">
        <v>267</v>
      </c>
      <c r="B41" s="104">
        <f>+B37</f>
        <v>7</v>
      </c>
      <c r="C41" s="104">
        <f>+C37</f>
        <v>10</v>
      </c>
      <c r="D41" s="104">
        <f>+D37</f>
        <v>12</v>
      </c>
      <c r="E41" s="104">
        <f>+E37</f>
        <v>17</v>
      </c>
      <c r="F41" s="116" t="s">
        <v>214</v>
      </c>
      <c r="G41" s="116">
        <v>500</v>
      </c>
      <c r="H41" s="118">
        <f>+H37</f>
        <v>42</v>
      </c>
      <c r="I41" s="118">
        <f>+I37</f>
        <v>52</v>
      </c>
      <c r="J41" s="118">
        <f>+J37</f>
        <v>47</v>
      </c>
      <c r="K41" s="118">
        <f>+K37</f>
        <v>54</v>
      </c>
      <c r="L41" s="116">
        <f>+B41*G41*H41</f>
        <v>147000</v>
      </c>
      <c r="M41" s="116">
        <f t="shared" si="18"/>
        <v>260000</v>
      </c>
      <c r="N41" s="116">
        <f t="shared" si="19"/>
        <v>282000</v>
      </c>
      <c r="O41" s="116">
        <f t="shared" si="20"/>
        <v>459000</v>
      </c>
      <c r="P41" s="116">
        <f t="shared" si="16"/>
        <v>1148000</v>
      </c>
      <c r="Q41" s="105"/>
      <c r="R41" s="122"/>
    </row>
    <row r="42" spans="1:18">
      <c r="A42" s="123" t="s">
        <v>268</v>
      </c>
      <c r="B42" s="124"/>
      <c r="C42" s="124"/>
      <c r="D42" s="124"/>
      <c r="E42" s="124"/>
      <c r="F42" s="124"/>
      <c r="G42" s="124"/>
      <c r="H42" s="124"/>
      <c r="I42" s="124"/>
      <c r="J42" s="124"/>
      <c r="K42" s="124"/>
      <c r="L42" s="125">
        <f>+L34+L25+L15</f>
        <v>3577098</v>
      </c>
      <c r="M42" s="125">
        <f>+M34+M25+M15</f>
        <v>6373300</v>
      </c>
      <c r="N42" s="125">
        <f>+N34+N25+N15</f>
        <v>6732335</v>
      </c>
      <c r="O42" s="125">
        <f>+O34+O25+O15</f>
        <v>10901510</v>
      </c>
      <c r="P42" s="126">
        <f t="shared" si="16"/>
        <v>27584243</v>
      </c>
      <c r="Q42" s="105"/>
    </row>
  </sheetData>
  <mergeCells count="6">
    <mergeCell ref="A34:K34"/>
    <mergeCell ref="B13:E13"/>
    <mergeCell ref="H13:K13"/>
    <mergeCell ref="L13:P13"/>
    <mergeCell ref="A15:K15"/>
    <mergeCell ref="A25:K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F50A-21A7-43D8-9DCC-78CBD3049079}">
  <dimension ref="A7:V20"/>
  <sheetViews>
    <sheetView showGridLines="0" topLeftCell="C11" workbookViewId="0">
      <selection activeCell="H20" sqref="H20"/>
    </sheetView>
  </sheetViews>
  <sheetFormatPr defaultColWidth="11.42578125" defaultRowHeight="15"/>
  <cols>
    <col min="1" max="1" width="26.28515625" style="127" hidden="1" customWidth="1"/>
    <col min="2" max="2" width="3.85546875" style="127" hidden="1" customWidth="1"/>
    <col min="3" max="3" width="43.140625" style="127" bestFit="1" customWidth="1"/>
    <col min="4" max="4" width="18.7109375" style="127" customWidth="1"/>
    <col min="5" max="5" width="20" style="134" customWidth="1"/>
    <col min="6" max="6" width="18.7109375" style="127" customWidth="1"/>
    <col min="7" max="7" width="11.7109375" style="127" customWidth="1"/>
    <col min="8" max="8" width="25.28515625" style="127" customWidth="1"/>
    <col min="9" max="9" width="9.140625" style="127" customWidth="1"/>
    <col min="10" max="10" width="10.42578125" style="127" customWidth="1"/>
    <col min="11" max="11" width="9.28515625" style="127" customWidth="1"/>
    <col min="12" max="12" width="7.28515625" style="127" customWidth="1"/>
    <col min="13" max="13" width="9.28515625" style="127" customWidth="1"/>
    <col min="14" max="14" width="9.140625" style="127" customWidth="1"/>
    <col min="15" max="15" width="9.5703125" style="127" customWidth="1"/>
    <col min="16" max="16" width="9.28515625" style="127" bestFit="1" customWidth="1"/>
    <col min="17" max="17" width="14" style="127" bestFit="1" customWidth="1"/>
    <col min="18" max="18" width="12.140625" style="127" customWidth="1"/>
    <col min="19" max="19" width="15.85546875" style="127" customWidth="1"/>
    <col min="20" max="20" width="14.42578125" style="127" customWidth="1"/>
    <col min="21" max="21" width="16.85546875" style="127" bestFit="1" customWidth="1"/>
    <col min="22" max="22" width="28.5703125" style="127" customWidth="1"/>
    <col min="23" max="16384" width="11.42578125" style="127"/>
  </cols>
  <sheetData>
    <row r="7" spans="1:22" ht="21">
      <c r="C7" s="721" t="s">
        <v>60</v>
      </c>
      <c r="D7" s="721"/>
      <c r="E7" s="721"/>
      <c r="F7" s="721"/>
      <c r="G7" s="721"/>
      <c r="H7" s="721"/>
      <c r="I7" s="721"/>
      <c r="J7" s="721"/>
      <c r="K7" s="721"/>
      <c r="L7" s="721"/>
      <c r="M7" s="721"/>
      <c r="N7" s="721"/>
      <c r="O7" s="721"/>
      <c r="P7" s="721"/>
      <c r="Q7" s="721"/>
      <c r="R7" s="721"/>
      <c r="S7" s="721"/>
      <c r="T7" s="721"/>
      <c r="U7" s="721"/>
      <c r="V7" s="721"/>
    </row>
    <row r="8" spans="1:22" ht="21">
      <c r="C8" s="721" t="s">
        <v>61</v>
      </c>
      <c r="D8" s="721"/>
      <c r="E8" s="721"/>
      <c r="F8" s="721"/>
      <c r="G8" s="721"/>
      <c r="H8" s="721"/>
      <c r="I8" s="721"/>
      <c r="J8" s="721"/>
      <c r="K8" s="721"/>
      <c r="L8" s="721"/>
      <c r="M8" s="721"/>
      <c r="N8" s="721"/>
      <c r="O8" s="721"/>
      <c r="P8" s="721"/>
      <c r="Q8" s="721"/>
      <c r="R8" s="721"/>
      <c r="S8" s="721"/>
      <c r="T8" s="721"/>
      <c r="U8" s="721"/>
      <c r="V8" s="721"/>
    </row>
    <row r="9" spans="1:22" ht="21">
      <c r="C9" s="128"/>
      <c r="D9" s="128"/>
      <c r="E9" s="129"/>
      <c r="F9" s="128"/>
      <c r="G9" s="128"/>
      <c r="H9" s="128"/>
      <c r="I9" s="128"/>
      <c r="J9" s="128"/>
      <c r="K9" s="128"/>
      <c r="L9" s="128"/>
      <c r="M9" s="128"/>
      <c r="N9" s="128"/>
      <c r="O9" s="128"/>
      <c r="P9" s="128"/>
      <c r="Q9" s="128"/>
      <c r="R9" s="128"/>
      <c r="S9" s="128"/>
      <c r="T9" s="128"/>
      <c r="U9" s="128"/>
      <c r="V9" s="128"/>
    </row>
    <row r="10" spans="1:22" ht="20.25">
      <c r="C10" s="140" t="s">
        <v>62</v>
      </c>
      <c r="D10" s="722" t="s">
        <v>269</v>
      </c>
      <c r="E10" s="722"/>
      <c r="F10" s="722"/>
      <c r="G10" s="722"/>
      <c r="H10" s="722"/>
      <c r="I10" s="722"/>
      <c r="J10" s="722"/>
      <c r="K10" s="722"/>
      <c r="L10" s="722"/>
      <c r="M10" s="722"/>
      <c r="N10" s="722"/>
      <c r="O10" s="722"/>
      <c r="P10" s="722"/>
      <c r="Q10" s="722"/>
      <c r="R10" s="722"/>
      <c r="S10" s="722"/>
      <c r="T10" s="722"/>
      <c r="U10" s="722"/>
      <c r="V10" s="722"/>
    </row>
    <row r="11" spans="1:22" ht="20.25">
      <c r="C11" s="140" t="s">
        <v>63</v>
      </c>
      <c r="D11" s="722" t="s">
        <v>155</v>
      </c>
      <c r="E11" s="722"/>
      <c r="F11" s="722"/>
      <c r="G11" s="722"/>
      <c r="H11" s="722"/>
      <c r="I11" s="722"/>
      <c r="J11" s="722"/>
      <c r="K11" s="722"/>
      <c r="L11" s="722"/>
      <c r="M11" s="722"/>
      <c r="N11" s="722"/>
      <c r="O11" s="722"/>
      <c r="P11" s="722"/>
      <c r="Q11" s="722"/>
      <c r="R11" s="722"/>
      <c r="S11" s="722"/>
      <c r="T11" s="722"/>
      <c r="U11" s="722"/>
      <c r="V11" s="722"/>
    </row>
    <row r="12" spans="1:22" ht="20.25">
      <c r="C12" s="140" t="s">
        <v>65</v>
      </c>
      <c r="D12" s="723" t="s">
        <v>270</v>
      </c>
      <c r="E12" s="724"/>
      <c r="F12" s="724"/>
      <c r="G12" s="724"/>
      <c r="H12" s="724"/>
      <c r="I12" s="724"/>
      <c r="J12" s="724"/>
      <c r="K12" s="724"/>
      <c r="L12" s="724"/>
      <c r="M12" s="724"/>
      <c r="N12" s="724"/>
      <c r="O12" s="724"/>
      <c r="P12" s="724"/>
      <c r="Q12" s="724"/>
      <c r="R12" s="724"/>
      <c r="S12" s="724"/>
      <c r="T12" s="724"/>
      <c r="U12" s="724"/>
      <c r="V12" s="725"/>
    </row>
    <row r="13" spans="1:22" ht="15.75" thickBot="1">
      <c r="C13" s="56"/>
      <c r="D13" s="56"/>
      <c r="E13" s="53"/>
      <c r="F13" s="56"/>
      <c r="G13" s="56"/>
      <c r="H13" s="56"/>
      <c r="I13" s="56"/>
      <c r="J13" s="56"/>
      <c r="K13" s="56"/>
      <c r="L13" s="56"/>
      <c r="M13" s="56"/>
      <c r="N13" s="56"/>
      <c r="O13" s="56"/>
      <c r="P13" s="56"/>
      <c r="Q13" s="56"/>
      <c r="R13" s="56"/>
      <c r="S13" s="56"/>
      <c r="T13" s="56"/>
      <c r="U13" s="56"/>
      <c r="V13" s="56"/>
    </row>
    <row r="14" spans="1:22" ht="15.75" thickBot="1">
      <c r="A14" s="130"/>
      <c r="B14" s="131"/>
      <c r="C14" s="696" t="s">
        <v>66</v>
      </c>
      <c r="D14" s="696" t="s">
        <v>67</v>
      </c>
      <c r="E14" s="696" t="s">
        <v>68</v>
      </c>
      <c r="F14" s="710" t="s">
        <v>69</v>
      </c>
      <c r="G14" s="710"/>
      <c r="H14" s="696" t="s">
        <v>70</v>
      </c>
      <c r="I14" s="710" t="s">
        <v>71</v>
      </c>
      <c r="J14" s="710"/>
      <c r="K14" s="710"/>
      <c r="L14" s="710" t="s">
        <v>72</v>
      </c>
      <c r="M14" s="710"/>
      <c r="N14" s="710"/>
      <c r="O14" s="710" t="s">
        <v>73</v>
      </c>
      <c r="P14" s="710"/>
      <c r="Q14" s="710"/>
      <c r="R14" s="710" t="s">
        <v>74</v>
      </c>
      <c r="S14" s="710"/>
      <c r="T14" s="710"/>
      <c r="U14" s="696" t="s">
        <v>75</v>
      </c>
      <c r="V14" s="696" t="s">
        <v>76</v>
      </c>
    </row>
    <row r="15" spans="1:22" s="134" customFormat="1" ht="28.5" customHeight="1" thickBot="1">
      <c r="A15" s="132" t="s">
        <v>271</v>
      </c>
      <c r="B15" s="133" t="s">
        <v>272</v>
      </c>
      <c r="C15" s="696"/>
      <c r="D15" s="696"/>
      <c r="E15" s="696"/>
      <c r="F15" s="51" t="s">
        <v>77</v>
      </c>
      <c r="G15" s="51" t="s">
        <v>78</v>
      </c>
      <c r="H15" s="696"/>
      <c r="I15" s="51" t="s">
        <v>79</v>
      </c>
      <c r="J15" s="51" t="s">
        <v>80</v>
      </c>
      <c r="K15" s="51" t="s">
        <v>81</v>
      </c>
      <c r="L15" s="51" t="s">
        <v>82</v>
      </c>
      <c r="M15" s="51" t="s">
        <v>83</v>
      </c>
      <c r="N15" s="51" t="s">
        <v>84</v>
      </c>
      <c r="O15" s="51" t="s">
        <v>85</v>
      </c>
      <c r="P15" s="51" t="s">
        <v>86</v>
      </c>
      <c r="Q15" s="51" t="s">
        <v>87</v>
      </c>
      <c r="R15" s="51" t="s">
        <v>88</v>
      </c>
      <c r="S15" s="51" t="s">
        <v>89</v>
      </c>
      <c r="T15" s="51" t="s">
        <v>90</v>
      </c>
      <c r="U15" s="696"/>
      <c r="V15" s="696"/>
    </row>
    <row r="16" spans="1:22" ht="42.75">
      <c r="C16" s="717" t="s">
        <v>273</v>
      </c>
      <c r="D16" s="135" t="s">
        <v>274</v>
      </c>
      <c r="E16" s="135" t="s">
        <v>275</v>
      </c>
      <c r="F16" s="55" t="s">
        <v>170</v>
      </c>
      <c r="G16" s="136">
        <v>0.4</v>
      </c>
      <c r="H16" s="34" t="s">
        <v>276</v>
      </c>
      <c r="I16" s="136">
        <v>0.4</v>
      </c>
      <c r="J16" s="136">
        <v>0.4</v>
      </c>
      <c r="K16" s="136">
        <v>0.4</v>
      </c>
      <c r="L16" s="136">
        <v>0.4</v>
      </c>
      <c r="M16" s="136">
        <v>0.4</v>
      </c>
      <c r="N16" s="136">
        <v>0.4</v>
      </c>
      <c r="O16" s="136">
        <v>0.4</v>
      </c>
      <c r="P16" s="136">
        <v>0.4</v>
      </c>
      <c r="Q16" s="136">
        <v>0.4</v>
      </c>
      <c r="R16" s="136">
        <v>0.4</v>
      </c>
      <c r="S16" s="136">
        <v>0.4</v>
      </c>
      <c r="T16" s="136">
        <v>0.4</v>
      </c>
      <c r="U16" s="726">
        <f>SUM('[2]Presupuesto G.'!U17:U18)</f>
        <v>513900</v>
      </c>
      <c r="V16" s="135" t="s">
        <v>277</v>
      </c>
    </row>
    <row r="17" spans="3:22" ht="42.75">
      <c r="C17" s="717"/>
      <c r="D17" s="135" t="s">
        <v>278</v>
      </c>
      <c r="E17" s="135" t="s">
        <v>279</v>
      </c>
      <c r="F17" s="55" t="s">
        <v>170</v>
      </c>
      <c r="G17" s="136">
        <v>0.9</v>
      </c>
      <c r="H17" s="34" t="s">
        <v>280</v>
      </c>
      <c r="I17" s="136">
        <v>0.9</v>
      </c>
      <c r="J17" s="136">
        <v>0.9</v>
      </c>
      <c r="K17" s="136">
        <v>0.9</v>
      </c>
      <c r="L17" s="136">
        <v>0.9</v>
      </c>
      <c r="M17" s="136">
        <v>0.9</v>
      </c>
      <c r="N17" s="136">
        <v>0.9</v>
      </c>
      <c r="O17" s="136">
        <v>0.9</v>
      </c>
      <c r="P17" s="136">
        <v>0.9</v>
      </c>
      <c r="Q17" s="136">
        <v>0.9</v>
      </c>
      <c r="R17" s="136">
        <v>0.9</v>
      </c>
      <c r="S17" s="136">
        <v>0.9</v>
      </c>
      <c r="T17" s="136">
        <v>0.9</v>
      </c>
      <c r="U17" s="726"/>
      <c r="V17" s="135" t="s">
        <v>281</v>
      </c>
    </row>
    <row r="18" spans="3:22" ht="42.75">
      <c r="C18" s="96" t="s">
        <v>282</v>
      </c>
      <c r="D18" s="96" t="s">
        <v>283</v>
      </c>
      <c r="E18" s="96" t="s">
        <v>279</v>
      </c>
      <c r="F18" s="59" t="s">
        <v>170</v>
      </c>
      <c r="G18" s="137">
        <v>0.8</v>
      </c>
      <c r="H18" s="57" t="s">
        <v>284</v>
      </c>
      <c r="I18" s="137">
        <v>0.8</v>
      </c>
      <c r="J18" s="137">
        <v>0.8</v>
      </c>
      <c r="K18" s="137">
        <v>0.8</v>
      </c>
      <c r="L18" s="137">
        <v>0.8</v>
      </c>
      <c r="M18" s="137">
        <v>0.8</v>
      </c>
      <c r="N18" s="137">
        <v>0.8</v>
      </c>
      <c r="O18" s="137">
        <v>0.8</v>
      </c>
      <c r="P18" s="137">
        <v>0.8</v>
      </c>
      <c r="Q18" s="137">
        <v>0.8</v>
      </c>
      <c r="R18" s="137">
        <v>0.8</v>
      </c>
      <c r="S18" s="137">
        <v>0.8</v>
      </c>
      <c r="T18" s="137">
        <v>0.8</v>
      </c>
      <c r="U18" s="61">
        <v>0</v>
      </c>
      <c r="V18" s="96" t="s">
        <v>285</v>
      </c>
    </row>
    <row r="19" spans="3:22" ht="57">
      <c r="C19" s="135" t="s">
        <v>286</v>
      </c>
      <c r="D19" s="135" t="s">
        <v>287</v>
      </c>
      <c r="E19" s="135" t="s">
        <v>288</v>
      </c>
      <c r="F19" s="55" t="s">
        <v>289</v>
      </c>
      <c r="G19" s="55">
        <v>2</v>
      </c>
      <c r="H19" s="135" t="s">
        <v>290</v>
      </c>
      <c r="I19" s="55"/>
      <c r="J19" s="55"/>
      <c r="K19" s="138">
        <v>1</v>
      </c>
      <c r="L19" s="36"/>
      <c r="M19" s="36"/>
      <c r="N19" s="36"/>
      <c r="O19" s="36"/>
      <c r="P19" s="36"/>
      <c r="Q19" s="36"/>
      <c r="R19" s="36"/>
      <c r="S19" s="36"/>
      <c r="T19" s="36"/>
      <c r="U19" s="62">
        <v>0</v>
      </c>
      <c r="V19" s="70"/>
    </row>
    <row r="20" spans="3:22" ht="42.75">
      <c r="C20" s="96" t="s">
        <v>291</v>
      </c>
      <c r="D20" s="96" t="s">
        <v>287</v>
      </c>
      <c r="E20" s="96" t="s">
        <v>292</v>
      </c>
      <c r="F20" s="60" t="s">
        <v>293</v>
      </c>
      <c r="G20" s="60">
        <v>1</v>
      </c>
      <c r="H20" s="96" t="s">
        <v>294</v>
      </c>
      <c r="I20" s="60"/>
      <c r="J20" s="139">
        <v>0.5</v>
      </c>
      <c r="K20" s="139">
        <v>1</v>
      </c>
      <c r="L20" s="60"/>
      <c r="M20" s="60"/>
      <c r="N20" s="60"/>
      <c r="O20" s="60"/>
      <c r="P20" s="60"/>
      <c r="Q20" s="60"/>
      <c r="R20" s="60"/>
      <c r="S20" s="60"/>
      <c r="T20" s="60"/>
      <c r="U20" s="61">
        <v>0</v>
      </c>
      <c r="V20" s="96" t="s">
        <v>295</v>
      </c>
    </row>
  </sheetData>
  <mergeCells count="18">
    <mergeCell ref="C16:C17"/>
    <mergeCell ref="U16:U17"/>
    <mergeCell ref="I14:K14"/>
    <mergeCell ref="L14:N14"/>
    <mergeCell ref="O14:Q14"/>
    <mergeCell ref="R14:T14"/>
    <mergeCell ref="U14:U15"/>
    <mergeCell ref="V14:V15"/>
    <mergeCell ref="C7:V7"/>
    <mergeCell ref="C8:V8"/>
    <mergeCell ref="D10:V10"/>
    <mergeCell ref="D11:V11"/>
    <mergeCell ref="D12:V12"/>
    <mergeCell ref="C14:C15"/>
    <mergeCell ref="D14:D15"/>
    <mergeCell ref="E14:E15"/>
    <mergeCell ref="F14:G14"/>
    <mergeCell ref="H14:H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Introducción</vt:lpstr>
      <vt:lpstr>Marco Estratégico</vt:lpstr>
      <vt:lpstr>1- Eje 1 Análisis</vt:lpstr>
      <vt:lpstr>1- Eje 3 Análisis</vt:lpstr>
      <vt:lpstr>1- Presupuesto Análisis</vt:lpstr>
      <vt:lpstr>2- Operaciones</vt:lpstr>
      <vt:lpstr>2- Presupuesto Operaciones</vt:lpstr>
      <vt:lpstr>Cierre Punto Soli.</vt:lpstr>
      <vt:lpstr>3- Calidad del Dato</vt:lpstr>
      <vt:lpstr>3- Presupuesto Calidad del Dato</vt:lpstr>
      <vt:lpstr>4- Cartografía</vt:lpstr>
      <vt:lpstr>4- Presupuesto Cartografía</vt:lpstr>
      <vt:lpstr>5- Adm. y Fin.</vt:lpstr>
      <vt:lpstr>5- Presupuesto Adm. y Fin.</vt:lpstr>
      <vt:lpstr>6- Comunicaciones</vt:lpstr>
      <vt:lpstr>6- Presupuesto Comunicaciones</vt:lpstr>
      <vt:lpstr>7- SGI</vt:lpstr>
      <vt:lpstr>7- Presupuesto SGI</vt:lpstr>
      <vt:lpstr>8- RRHH</vt:lpstr>
      <vt:lpstr>8- Presupuesto RRHH</vt:lpstr>
      <vt:lpstr>8- Proyecciones RRHH</vt:lpstr>
      <vt:lpstr>9- Tecnología</vt:lpstr>
      <vt:lpstr>9- Presupueto TIC</vt:lpstr>
      <vt:lpstr>9- Adquisiciones TIC</vt:lpstr>
      <vt:lpstr>10- PyD</vt:lpstr>
      <vt:lpstr>10- Presupuesto PyD</vt:lpstr>
      <vt:lpstr>Presupuesto por Objeto de Gasto</vt:lpstr>
      <vt:lpstr>Presupuesto por Programatica</vt:lpstr>
      <vt:lpstr>Presupuesto D. por Cuenta</vt:lpstr>
      <vt:lpstr>P. por Fuente de Financiamiento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Hamlet Durán</dc:creator>
  <cp:lastModifiedBy>Hamlet Durán</cp:lastModifiedBy>
  <dcterms:created xsi:type="dcterms:W3CDTF">2022-09-14T12:47:43Z</dcterms:created>
  <dcterms:modified xsi:type="dcterms:W3CDTF">2023-01-23T17:42:28Z</dcterms:modified>
</cp:coreProperties>
</file>