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2\"/>
    </mc:Choice>
  </mc:AlternateContent>
  <xr:revisionPtr revIDLastSave="0" documentId="13_ncr:1_{F4CF0955-73AE-404C-B7B7-CE32FFB872C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3" l="1"/>
  <c r="M26" i="3"/>
  <c r="M52" i="3"/>
  <c r="Q55" i="2"/>
  <c r="Q34" i="2"/>
  <c r="Q37" i="2"/>
  <c r="Q35" i="2"/>
  <c r="Q33" i="2"/>
  <c r="Q31" i="2"/>
  <c r="Q30" i="2"/>
  <c r="Q29" i="2"/>
  <c r="Q26" i="2"/>
  <c r="Q18" i="2" s="1"/>
  <c r="Q27" i="2"/>
  <c r="Q25" i="2"/>
  <c r="Q24" i="2"/>
  <c r="Q23" i="2"/>
  <c r="Q22" i="2"/>
  <c r="Q19" i="2"/>
  <c r="Q13" i="2"/>
  <c r="Q17" i="2"/>
  <c r="L16" i="3"/>
  <c r="P25" i="2"/>
  <c r="P23" i="2"/>
  <c r="P19" i="2"/>
  <c r="P17" i="2"/>
  <c r="E54" i="1"/>
  <c r="K35" i="3"/>
  <c r="K33" i="3"/>
  <c r="K32" i="3"/>
  <c r="K29" i="3"/>
  <c r="K27" i="3"/>
  <c r="K24" i="3"/>
  <c r="K23" i="3"/>
  <c r="K22" i="3"/>
  <c r="K21" i="3"/>
  <c r="K20" i="3"/>
  <c r="K17" i="3"/>
  <c r="K15" i="3"/>
  <c r="N19" i="2"/>
  <c r="N13" i="2"/>
  <c r="N17" i="2"/>
  <c r="R36" i="2"/>
  <c r="R59" i="2"/>
  <c r="R58" i="2"/>
  <c r="R57" i="2"/>
  <c r="M19" i="2"/>
  <c r="M13" i="2"/>
  <c r="M17" i="2"/>
  <c r="K26" i="3" l="1"/>
  <c r="H16" i="3"/>
  <c r="H52" i="3"/>
  <c r="H26" i="3"/>
  <c r="L37" i="2"/>
  <c r="L35" i="2"/>
  <c r="L34" i="2"/>
  <c r="L33" i="2"/>
  <c r="L18" i="2"/>
  <c r="L13" i="2"/>
  <c r="L17" i="2"/>
  <c r="G17" i="3"/>
  <c r="G11" i="3"/>
  <c r="G15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35" i="3"/>
  <c r="E26" i="3" s="1"/>
  <c r="H19" i="2"/>
  <c r="H13" i="2"/>
  <c r="H17" i="2"/>
  <c r="C26" i="3"/>
  <c r="G18" i="2"/>
  <c r="G19" i="2"/>
  <c r="G17" i="2"/>
  <c r="G13" i="2"/>
  <c r="K52" i="3"/>
  <c r="D52" i="3"/>
  <c r="C52" i="3"/>
  <c r="B52" i="3"/>
  <c r="B26" i="3"/>
  <c r="D18" i="2"/>
  <c r="D18" i="1" l="1"/>
  <c r="M10" i="3"/>
  <c r="E54" i="2"/>
  <c r="Q54" i="2"/>
  <c r="E38" i="2"/>
  <c r="E18" i="2"/>
  <c r="N54" i="3"/>
  <c r="L2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K16" i="3"/>
  <c r="K83" i="3" s="1"/>
  <c r="J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R56" i="2"/>
  <c r="R55" i="2"/>
  <c r="J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P18" i="2"/>
  <c r="O18" i="2"/>
  <c r="N18" i="2"/>
  <c r="K18" i="2"/>
  <c r="J18" i="2"/>
  <c r="I18" i="2"/>
  <c r="H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D12" i="2"/>
  <c r="E12" i="2"/>
  <c r="R12" i="2" l="1"/>
  <c r="E83" i="3"/>
  <c r="D83" i="3"/>
  <c r="C83" i="3"/>
  <c r="B83" i="3"/>
  <c r="M83" i="3"/>
  <c r="F83" i="3"/>
  <c r="G83" i="3"/>
  <c r="J83" i="3"/>
  <c r="L83" i="3"/>
  <c r="D85" i="2"/>
  <c r="R54" i="2"/>
  <c r="E85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D54" i="1"/>
  <c r="E38" i="1"/>
  <c r="D38" i="1"/>
  <c r="E28" i="1"/>
  <c r="D28" i="1"/>
  <c r="E18" i="1"/>
  <c r="E12" i="1"/>
  <c r="D12" i="1"/>
  <c r="E85" i="1" l="1"/>
  <c r="D85" i="1"/>
  <c r="N83" i="3"/>
  <c r="R85" i="2"/>
</calcChain>
</file>

<file path=xl/sharedStrings.xml><?xml version="1.0" encoding="utf-8"?>
<sst xmlns="http://schemas.openxmlformats.org/spreadsheetml/2006/main" count="291" uniqueCount="118">
  <si>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</si>
  <si>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</si>
  <si>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</si>
  <si>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</si>
  <si>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</si>
  <si>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</si>
  <si>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</si>
  <si>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</si>
  <si>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</si>
  <si>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</si>
  <si>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</si>
  <si>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</si>
  <si>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</si>
  <si>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</si>
  <si>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</si>
  <si>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</si>
  <si>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</si>
  <si>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</si>
  <si>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</si>
  <si>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</si>
  <si>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</si>
  <si>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</si>
  <si>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</si>
  <si>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</si>
  <si>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</si>
  <si>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</si>
  <si>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</si>
  <si>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</si>
  <si>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</si>
  <si>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</si>
  <si>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</si>
  <si>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</si>
  <si>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</si>
  <si>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</si>
  <si>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</si>
  <si>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</si>
  <si>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</si>
  <si>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</si>
  <si>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</si>
  <si>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</si>
  <si>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</si>
  <si>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</si>
  <si>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</si>
  <si>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</si>
  <si>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</si>
  <si>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</si>
  <si>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</si>
  <si>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</si>
  <si>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</si>
  <si>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</si>
  <si>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</si>
  <si>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</si>
  <si>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</si>
  <si>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</si>
  <si>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</si>
  <si>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</si>
  <si>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</si>
  <si>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</si>
  <si>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</si>
  <si>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</si>
  <si>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</si>
  <si>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</si>
  <si>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</si>
  <si>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</si>
  <si>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</si>
  <si>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</si>
  <si>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</si>
  <si>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</si>
  <si>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</si>
  <si>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</si>
  <si>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</si>
  <si>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</si>
  <si>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</si>
  <si>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</si>
  <si>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</si>
  <si>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</si>
  <si>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</si>
  <si>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</si>
  <si>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</si>
  <si>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</si>
  <si>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</si>
  <si>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</si>
  <si>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</si>
  <si>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</si>
  <si>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</si>
  <si>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</si>
  <si>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</si>
  <si>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</si>
  <si>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</si>
  <si>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</si>
  <si>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</si>
  <si>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</si>
  <si>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</si>
  <si>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</si>
  <si>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</si>
  <si>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</si>
  <si>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</si>
  <si>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</si>
  <si>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</si>
  <si>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</si>
  <si>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</si>
  <si>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</si>
  <si>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</si>
  <si>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</si>
  <si>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</si>
  <si>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</si>
  <si>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</si>
  <si>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</si>
  <si>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</si>
  <si>
    <t>Thelbia Fernández</t>
  </si>
  <si>
    <t>Preparado por:</t>
  </si>
  <si>
    <t xml:space="preserve">                 </t>
  </si>
  <si>
    <t>Autorizado por:</t>
  </si>
  <si>
    <t>___________________________</t>
  </si>
  <si>
    <t>Humberto Méndez de la Cruz</t>
  </si>
  <si>
    <t>_______________________________</t>
  </si>
  <si>
    <t>Analista de Ejecución</t>
  </si>
  <si>
    <t>Encdo. Administrativo y Financiero,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</si>
</sst>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504826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638176</xdr:colOff>
      <xdr:row>0</xdr:row>
      <xdr:rowOff>171450</xdr:rowOff>
    </xdr:from>
    <xdr:to>
      <xdr:col>13</xdr:col>
      <xdr:colOff>847726</xdr:colOff>
      <xdr:row>6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1" y="171450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workbookViewId="0">
      <selection activeCell="E85" sqref="E85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6" t="s">
        <v>98</v>
      </c>
      <c r="D3" s="36"/>
      <c r="E3" s="36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6" t="s">
        <v>99</v>
      </c>
      <c r="D4" s="36"/>
      <c r="E4" s="36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2">
        <v>2022</v>
      </c>
      <c r="D5" s="43"/>
      <c r="E5" s="4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7" t="s">
        <v>76</v>
      </c>
      <c r="D6" s="38"/>
      <c r="E6" s="3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7" t="s">
        <v>77</v>
      </c>
      <c r="D7" s="38"/>
      <c r="E7" s="3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39" t="s">
        <v>66</v>
      </c>
      <c r="D9" s="40" t="s">
        <v>94</v>
      </c>
      <c r="E9" s="40" t="s">
        <v>93</v>
      </c>
      <c r="F9" s="8"/>
    </row>
    <row r="10" spans="2:16" ht="23.25" customHeight="1" x14ac:dyDescent="0.25">
      <c r="C10" s="39"/>
      <c r="D10" s="41"/>
      <c r="E10" s="41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122221626</v>
      </c>
      <c r="E12" s="4">
        <f>E13+E14+E17</f>
        <v>200966688.45999998</v>
      </c>
      <c r="F12" s="8"/>
    </row>
    <row r="13" spans="2:16" x14ac:dyDescent="0.25">
      <c r="C13" s="5" t="s">
        <v>2</v>
      </c>
      <c r="D13" s="6">
        <v>93300360</v>
      </c>
      <c r="E13" s="6">
        <v>163266296.81999999</v>
      </c>
      <c r="F13" s="8"/>
    </row>
    <row r="14" spans="2:16" x14ac:dyDescent="0.25">
      <c r="C14" s="5" t="s">
        <v>3</v>
      </c>
      <c r="D14" s="6">
        <v>16002000</v>
      </c>
      <c r="E14" s="6">
        <v>15483545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22216846.640000001</v>
      </c>
      <c r="F17" s="8"/>
    </row>
    <row r="18" spans="3:6" x14ac:dyDescent="0.25">
      <c r="C18" s="3" t="s">
        <v>7</v>
      </c>
      <c r="D18" s="4">
        <f>D19+D20+D21+D22+D23+D24+D25+D26+D27</f>
        <v>157568266</v>
      </c>
      <c r="E18" s="4">
        <f>E19+E20+E21+E22+E23+E24+E25+E26+E27</f>
        <v>87367379.189999998</v>
      </c>
      <c r="F18" s="8"/>
    </row>
    <row r="19" spans="3:6" x14ac:dyDescent="0.25">
      <c r="C19" s="5" t="s">
        <v>8</v>
      </c>
      <c r="D19" s="6">
        <v>22370000</v>
      </c>
      <c r="E19" s="6">
        <v>28878050</v>
      </c>
      <c r="F19" s="8"/>
    </row>
    <row r="20" spans="3:6" x14ac:dyDescent="0.25">
      <c r="C20" s="5" t="s">
        <v>9</v>
      </c>
      <c r="D20" s="6">
        <v>1100000</v>
      </c>
      <c r="E20" s="6">
        <v>346536.65</v>
      </c>
      <c r="F20" s="8"/>
    </row>
    <row r="21" spans="3:6" x14ac:dyDescent="0.25">
      <c r="C21" s="5" t="s">
        <v>10</v>
      </c>
      <c r="D21" s="6">
        <v>4200000</v>
      </c>
      <c r="E21" s="6">
        <v>8211802.5</v>
      </c>
      <c r="F21" s="8"/>
    </row>
    <row r="22" spans="3:6" x14ac:dyDescent="0.25">
      <c r="C22" s="5" t="s">
        <v>11</v>
      </c>
      <c r="D22" s="6">
        <v>2720000</v>
      </c>
      <c r="E22" s="6">
        <v>851496.03</v>
      </c>
      <c r="F22" s="8"/>
    </row>
    <row r="23" spans="3:6" x14ac:dyDescent="0.25">
      <c r="C23" s="5" t="s">
        <v>12</v>
      </c>
      <c r="D23" s="6">
        <v>14053244</v>
      </c>
      <c r="E23" s="6">
        <v>20961598.129999999</v>
      </c>
    </row>
    <row r="24" spans="3:6" x14ac:dyDescent="0.25">
      <c r="C24" s="5" t="s">
        <v>13</v>
      </c>
      <c r="D24" s="6">
        <v>4900000</v>
      </c>
      <c r="E24" s="6">
        <v>12760571.49</v>
      </c>
    </row>
    <row r="25" spans="3:6" x14ac:dyDescent="0.25">
      <c r="C25" s="5" t="s">
        <v>14</v>
      </c>
      <c r="D25" s="6">
        <v>5400000</v>
      </c>
      <c r="E25" s="6">
        <v>4385558.16</v>
      </c>
    </row>
    <row r="26" spans="3:6" x14ac:dyDescent="0.25">
      <c r="C26" s="5" t="s">
        <v>15</v>
      </c>
      <c r="D26" s="6">
        <v>100625022</v>
      </c>
      <c r="E26" s="6">
        <v>8262006.7000000002</v>
      </c>
    </row>
    <row r="27" spans="3:6" x14ac:dyDescent="0.25">
      <c r="C27" s="5" t="s">
        <v>16</v>
      </c>
      <c r="D27" s="6">
        <v>2200000</v>
      </c>
      <c r="E27" s="6">
        <v>2709759.53</v>
      </c>
    </row>
    <row r="28" spans="3:6" x14ac:dyDescent="0.25">
      <c r="C28" s="3" t="s">
        <v>17</v>
      </c>
      <c r="D28" s="4">
        <f>D29+D30+D31+D32+D33+D34+D35+D37</f>
        <v>15857000</v>
      </c>
      <c r="E28" s="4">
        <f>E29+E30+E31+E32+E33+E34+E35+E37</f>
        <v>16862824.350000001</v>
      </c>
    </row>
    <row r="29" spans="3:6" x14ac:dyDescent="0.25">
      <c r="C29" s="5" t="s">
        <v>18</v>
      </c>
      <c r="D29" s="6">
        <v>800000</v>
      </c>
      <c r="E29" s="6">
        <v>1014480.16</v>
      </c>
    </row>
    <row r="30" spans="3:6" x14ac:dyDescent="0.25">
      <c r="C30" s="5" t="s">
        <v>19</v>
      </c>
      <c r="D30" s="6">
        <v>900000</v>
      </c>
      <c r="E30" s="6">
        <v>195398</v>
      </c>
    </row>
    <row r="31" spans="3:6" x14ac:dyDescent="0.25">
      <c r="C31" s="5" t="s">
        <v>20</v>
      </c>
      <c r="D31" s="6">
        <v>925000</v>
      </c>
      <c r="E31" s="6">
        <v>1171418.9099999999</v>
      </c>
    </row>
    <row r="32" spans="3:6" x14ac:dyDescent="0.25">
      <c r="C32" s="5" t="s">
        <v>21</v>
      </c>
      <c r="D32" s="6">
        <v>420000</v>
      </c>
      <c r="E32" s="6">
        <v>0</v>
      </c>
    </row>
    <row r="33" spans="3:5" x14ac:dyDescent="0.25">
      <c r="C33" s="5" t="s">
        <v>22</v>
      </c>
      <c r="D33" s="6">
        <v>1400000</v>
      </c>
      <c r="E33" s="6">
        <v>449876.88</v>
      </c>
    </row>
    <row r="34" spans="3:5" x14ac:dyDescent="0.25">
      <c r="C34" s="5" t="s">
        <v>23</v>
      </c>
      <c r="D34" s="6">
        <v>342000</v>
      </c>
      <c r="E34" s="6">
        <v>278324.24</v>
      </c>
    </row>
    <row r="35" spans="3:5" x14ac:dyDescent="0.25">
      <c r="C35" s="5" t="s">
        <v>24</v>
      </c>
      <c r="D35" s="6">
        <v>6350000</v>
      </c>
      <c r="E35" s="6">
        <v>11492585.25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4720000</v>
      </c>
      <c r="E37" s="6">
        <v>2260740.91</v>
      </c>
    </row>
    <row r="38" spans="3:5" x14ac:dyDescent="0.25">
      <c r="C38" s="3" t="s">
        <v>27</v>
      </c>
      <c r="D38" s="4">
        <f>D39</f>
        <v>400000</v>
      </c>
      <c r="E38" s="4">
        <f>E39</f>
        <v>0</v>
      </c>
    </row>
    <row r="39" spans="3:5" x14ac:dyDescent="0.25">
      <c r="C39" s="5" t="s">
        <v>28</v>
      </c>
      <c r="D39" s="6">
        <v>400000</v>
      </c>
      <c r="E39" s="6">
        <v>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6100000</v>
      </c>
      <c r="E54" s="4">
        <f>E55+E58+E59+E56</f>
        <v>4350000</v>
      </c>
    </row>
    <row r="55" spans="3:5" x14ac:dyDescent="0.25">
      <c r="C55" s="5" t="s">
        <v>44</v>
      </c>
      <c r="D55" s="6">
        <v>2500000</v>
      </c>
      <c r="E55" s="6">
        <v>3076500</v>
      </c>
    </row>
    <row r="56" spans="3:5" x14ac:dyDescent="0.25">
      <c r="C56" s="5" t="s">
        <v>45</v>
      </c>
      <c r="D56" s="6"/>
      <c r="E56" s="6">
        <v>295000</v>
      </c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513200</v>
      </c>
    </row>
    <row r="59" spans="3:5" x14ac:dyDescent="0.25">
      <c r="C59" s="5" t="s">
        <v>48</v>
      </c>
      <c r="D59" s="6">
        <v>100000</v>
      </c>
      <c r="E59" s="6">
        <v>465300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302146892</v>
      </c>
      <c r="E85" s="23">
        <f>E54+E38+E28+E18+E12</f>
        <v>309546892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B57" workbookViewId="0">
      <selection activeCell="C31" sqref="C31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47" t="s">
        <v>98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9" ht="21" customHeight="1" x14ac:dyDescent="0.25">
      <c r="C4" s="49" t="s">
        <v>100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ht="15.75" x14ac:dyDescent="0.25">
      <c r="C5" s="42">
        <v>2022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37" t="s">
        <v>92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3:19" ht="15.75" customHeight="1" x14ac:dyDescent="0.25">
      <c r="C7" s="38" t="s">
        <v>77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9" spans="3:19" ht="25.5" customHeight="1" x14ac:dyDescent="0.25">
      <c r="C9" s="39" t="s">
        <v>66</v>
      </c>
      <c r="D9" s="40" t="s">
        <v>94</v>
      </c>
      <c r="E9" s="40" t="s">
        <v>93</v>
      </c>
      <c r="F9" s="44" t="s">
        <v>91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3:19" x14ac:dyDescent="0.25">
      <c r="C10" s="39"/>
      <c r="D10" s="41"/>
      <c r="E10" s="41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122221626</v>
      </c>
      <c r="E12" s="25">
        <f>E13+E14+E17</f>
        <v>200966688.45999998</v>
      </c>
      <c r="F12" s="25">
        <f t="shared" ref="F12:Q12" si="0">F13+F14+F17</f>
        <v>10318594.130000001</v>
      </c>
      <c r="G12" s="25">
        <f t="shared" si="0"/>
        <v>13121888.960000001</v>
      </c>
      <c r="H12" s="25">
        <f t="shared" si="0"/>
        <v>16495577.43</v>
      </c>
      <c r="I12" s="25">
        <f t="shared" si="0"/>
        <v>14865946.060000001</v>
      </c>
      <c r="J12" s="25">
        <f t="shared" si="0"/>
        <v>14325419.569999998</v>
      </c>
      <c r="K12" s="25">
        <f t="shared" si="0"/>
        <v>14434653.82</v>
      </c>
      <c r="L12" s="25">
        <f t="shared" si="0"/>
        <v>14260976.210000001</v>
      </c>
      <c r="M12" s="25">
        <f t="shared" si="0"/>
        <v>14528236.569999998</v>
      </c>
      <c r="N12" s="25">
        <f t="shared" si="0"/>
        <v>14572794.839999998</v>
      </c>
      <c r="O12" s="25">
        <f t="shared" si="0"/>
        <v>26863890.579999998</v>
      </c>
      <c r="P12" s="25">
        <f t="shared" si="0"/>
        <v>25505472.629999999</v>
      </c>
      <c r="Q12" s="25">
        <f t="shared" si="0"/>
        <v>16081185.749999998</v>
      </c>
      <c r="R12" s="25">
        <f>SUM(F12:Q12)</f>
        <v>195374636.55000001</v>
      </c>
    </row>
    <row r="13" spans="3:19" x14ac:dyDescent="0.25">
      <c r="C13" s="5" t="s">
        <v>2</v>
      </c>
      <c r="D13" s="24">
        <v>93300360</v>
      </c>
      <c r="E13" s="24">
        <v>163266296.81999999</v>
      </c>
      <c r="F13" s="24">
        <v>8974683.2300000004</v>
      </c>
      <c r="G13" s="24">
        <f>11102082.23+20000</f>
        <v>11122082.23</v>
      </c>
      <c r="H13" s="24">
        <f>11107126.19+20000+1363000+1442068+372866.44</f>
        <v>14305060.629999999</v>
      </c>
      <c r="I13" s="24">
        <v>12770064.17</v>
      </c>
      <c r="J13" s="24">
        <v>12223128.039999999</v>
      </c>
      <c r="K13" s="24">
        <v>12346107.880000001</v>
      </c>
      <c r="L13" s="24">
        <f>11491330.98+18000+518000+116927.19</f>
        <v>12144258.17</v>
      </c>
      <c r="M13" s="24">
        <f>11833724.12+20000+501000</f>
        <v>12354724.119999999</v>
      </c>
      <c r="N13" s="24">
        <f>11863724.12+20000+496750+15475.54</f>
        <v>12395949.659999998</v>
      </c>
      <c r="O13" s="24">
        <v>24683347.859999999</v>
      </c>
      <c r="P13" s="24">
        <v>23419321.25</v>
      </c>
      <c r="Q13" s="24">
        <f>11750904.12+20000+1031000+583006+461761.53</f>
        <v>13846671.649999999</v>
      </c>
      <c r="R13" s="24">
        <f>SUM(F13:Q13)</f>
        <v>170585398.89000002</v>
      </c>
    </row>
    <row r="14" spans="3:19" x14ac:dyDescent="0.25">
      <c r="C14" s="5" t="s">
        <v>3</v>
      </c>
      <c r="D14" s="24">
        <v>16002000</v>
      </c>
      <c r="E14" s="24">
        <v>15483545</v>
      </c>
      <c r="F14" s="24">
        <v>333500</v>
      </c>
      <c r="G14" s="24">
        <v>333500</v>
      </c>
      <c r="H14" s="24">
        <v>333500</v>
      </c>
      <c r="I14" s="24">
        <v>333500</v>
      </c>
      <c r="J14" s="24">
        <v>333500</v>
      </c>
      <c r="K14" s="24">
        <v>333500</v>
      </c>
      <c r="L14" s="24">
        <v>326500</v>
      </c>
      <c r="M14" s="24">
        <v>333500</v>
      </c>
      <c r="N14" s="24">
        <v>333500</v>
      </c>
      <c r="O14" s="24">
        <v>333500</v>
      </c>
      <c r="P14" s="24">
        <v>333500</v>
      </c>
      <c r="Q14" s="24">
        <v>333500</v>
      </c>
      <c r="R14" s="24">
        <f>SUM(F14:Q14)</f>
        <v>3995000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v>12919266</v>
      </c>
      <c r="E17" s="24">
        <v>22216846.640000001</v>
      </c>
      <c r="F17" s="24">
        <v>1010410.9</v>
      </c>
      <c r="G17" s="24">
        <f>778532.3+789667.82+98106.61</f>
        <v>1666306.7300000002</v>
      </c>
      <c r="H17" s="24">
        <f>866043.72+886798.94+104174.14</f>
        <v>1857016.7999999998</v>
      </c>
      <c r="I17" s="24">
        <v>1762381.89</v>
      </c>
      <c r="J17" s="24">
        <v>1768791.53</v>
      </c>
      <c r="K17" s="24">
        <v>1755045.94</v>
      </c>
      <c r="L17" s="24">
        <f>833834.2+853940.49+102443.35</f>
        <v>1790218.04</v>
      </c>
      <c r="M17" s="24">
        <f>857046.38+877185.4+105780.67</f>
        <v>1840012.45</v>
      </c>
      <c r="N17" s="24">
        <f>858872.06+879013.65+105459.47</f>
        <v>1843345.18</v>
      </c>
      <c r="O17" s="24">
        <v>1847042.72</v>
      </c>
      <c r="P17" s="24">
        <f>816954.74+833824.46+101872.18</f>
        <v>1752651.38</v>
      </c>
      <c r="Q17" s="24">
        <f>884462+908935.19+107616.91</f>
        <v>1901014.0999999999</v>
      </c>
      <c r="R17" s="24">
        <f t="shared" ref="R17:R27" si="1">SUM(F17:Q17)</f>
        <v>20794237.659999996</v>
      </c>
    </row>
    <row r="18" spans="3:18" x14ac:dyDescent="0.25">
      <c r="C18" s="3" t="s">
        <v>7</v>
      </c>
      <c r="D18" s="25">
        <f>D19+D20+D21+D22+D23+D24+D25+D26+D27</f>
        <v>157568266</v>
      </c>
      <c r="E18" s="25">
        <f>E19+E20+E21+E22+E23+E24+E25+E26+E27</f>
        <v>87367379.189999998</v>
      </c>
      <c r="F18" s="25">
        <f t="shared" ref="F18:P18" si="2">F19+F20+F21+F22+F23+F24+F25+F26</f>
        <v>2041119.06</v>
      </c>
      <c r="G18" s="25">
        <f>G19+G20+G21+G22+G23+G24+G25+G26</f>
        <v>4191962.75</v>
      </c>
      <c r="H18" s="25">
        <f t="shared" si="2"/>
        <v>2944059.5700000003</v>
      </c>
      <c r="I18" s="25">
        <f t="shared" si="2"/>
        <v>4926319.68</v>
      </c>
      <c r="J18" s="25">
        <f t="shared" si="2"/>
        <v>8370800.0499999998</v>
      </c>
      <c r="K18" s="25">
        <f t="shared" si="2"/>
        <v>4676862.4400000004</v>
      </c>
      <c r="L18" s="25">
        <f>L19+L20+L21+L22+L23+L24+L25+L26+L27</f>
        <v>12521024.200000001</v>
      </c>
      <c r="M18" s="25">
        <f>M19+M20+M21+M22+M23+M24+M25+M26+M27</f>
        <v>5482952.0300000003</v>
      </c>
      <c r="N18" s="25">
        <f t="shared" si="2"/>
        <v>4785180.54</v>
      </c>
      <c r="O18" s="25">
        <f t="shared" si="2"/>
        <v>7870666.4099999992</v>
      </c>
      <c r="P18" s="25">
        <f t="shared" si="2"/>
        <v>8889384.7799999993</v>
      </c>
      <c r="Q18" s="25">
        <f>Q19+Q20+Q21+Q22+Q23+Q24+Q25+Q26+Q27</f>
        <v>19310730.850000001</v>
      </c>
      <c r="R18" s="25">
        <f t="shared" si="1"/>
        <v>86011062.359999999</v>
      </c>
    </row>
    <row r="19" spans="3:18" x14ac:dyDescent="0.25">
      <c r="C19" s="5" t="s">
        <v>8</v>
      </c>
      <c r="D19" s="24">
        <v>22370000</v>
      </c>
      <c r="E19" s="24">
        <v>28878050</v>
      </c>
      <c r="F19" s="24">
        <v>2041119.06</v>
      </c>
      <c r="G19" s="24">
        <f>477608.77+399421.17+1754566.25+485060.35</f>
        <v>3116656.54</v>
      </c>
      <c r="H19" s="24">
        <f>383209.77+221864.07+794511.97+492147.91</f>
        <v>1891733.72</v>
      </c>
      <c r="I19" s="24">
        <v>1888613.25</v>
      </c>
      <c r="J19" s="24">
        <v>2315450.12</v>
      </c>
      <c r="K19" s="24">
        <v>2650989.4300000002</v>
      </c>
      <c r="L19" s="24">
        <v>2786366.52</v>
      </c>
      <c r="M19" s="24">
        <f>677870.51+268414.24+875254.13+665876.37</f>
        <v>2487415.25</v>
      </c>
      <c r="N19" s="24">
        <f>504125.14+217243.69+866618.52+650734.82</f>
        <v>2238722.17</v>
      </c>
      <c r="O19" s="24">
        <v>1885836.9</v>
      </c>
      <c r="P19" s="24">
        <f>532201.4+229893.03+943057.78+1286417.18</f>
        <v>2991569.3899999997</v>
      </c>
      <c r="Q19" s="24">
        <f>669850.06+258061.43+900285.42+651385.94+54081+15322</f>
        <v>2548985.85</v>
      </c>
      <c r="R19" s="24">
        <f t="shared" si="1"/>
        <v>28843458.200000003</v>
      </c>
    </row>
    <row r="20" spans="3:18" x14ac:dyDescent="0.25">
      <c r="C20" s="5" t="s">
        <v>9</v>
      </c>
      <c r="D20" s="24">
        <v>1100000</v>
      </c>
      <c r="E20" s="24">
        <v>346536.65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226114</v>
      </c>
      <c r="M20" s="24">
        <v>0</v>
      </c>
      <c r="N20" s="24">
        <v>0</v>
      </c>
      <c r="O20" s="24">
        <v>18277.740000000002</v>
      </c>
      <c r="P20" s="24">
        <v>0</v>
      </c>
      <c r="Q20" s="24">
        <v>101536.65</v>
      </c>
      <c r="R20" s="24">
        <f t="shared" si="1"/>
        <v>345928.39</v>
      </c>
    </row>
    <row r="21" spans="3:18" x14ac:dyDescent="0.25">
      <c r="C21" s="5" t="s">
        <v>10</v>
      </c>
      <c r="D21" s="24">
        <v>4200000</v>
      </c>
      <c r="E21" s="24">
        <v>8211802.5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2470380</v>
      </c>
      <c r="M21" s="24">
        <v>0</v>
      </c>
      <c r="N21" s="24">
        <v>0</v>
      </c>
      <c r="O21" s="24">
        <v>2887185</v>
      </c>
      <c r="P21" s="24">
        <v>1191200</v>
      </c>
      <c r="Q21" s="24">
        <v>1663037.5</v>
      </c>
      <c r="R21" s="24">
        <f t="shared" si="1"/>
        <v>8211802.5</v>
      </c>
    </row>
    <row r="22" spans="3:18" x14ac:dyDescent="0.25">
      <c r="C22" s="5" t="s">
        <v>11</v>
      </c>
      <c r="D22" s="24">
        <v>2720000</v>
      </c>
      <c r="E22" s="24">
        <v>851496.03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489184.37</v>
      </c>
      <c r="M22" s="24">
        <v>0</v>
      </c>
      <c r="N22" s="24">
        <v>0</v>
      </c>
      <c r="O22" s="24">
        <v>59613.74</v>
      </c>
      <c r="P22" s="24">
        <v>0</v>
      </c>
      <c r="Q22" s="24">
        <f>161112.39+100873.64+24080</f>
        <v>286066.03000000003</v>
      </c>
      <c r="R22" s="24">
        <f t="shared" si="1"/>
        <v>834864.14</v>
      </c>
    </row>
    <row r="23" spans="3:18" x14ac:dyDescent="0.25">
      <c r="C23" s="5" t="s">
        <v>12</v>
      </c>
      <c r="D23" s="24">
        <v>14053244</v>
      </c>
      <c r="E23" s="24">
        <v>20961598.129999999</v>
      </c>
      <c r="F23" s="24">
        <v>0</v>
      </c>
      <c r="G23" s="24">
        <v>0</v>
      </c>
      <c r="H23" s="24">
        <v>0</v>
      </c>
      <c r="I23" s="24">
        <v>0</v>
      </c>
      <c r="J23" s="24">
        <v>5022189.21</v>
      </c>
      <c r="K23" s="24">
        <v>1004437.84</v>
      </c>
      <c r="L23" s="24">
        <v>1402242.28</v>
      </c>
      <c r="M23" s="24">
        <v>1670639.44</v>
      </c>
      <c r="N23" s="24">
        <v>1799166.94</v>
      </c>
      <c r="O23" s="24">
        <v>1453475.65</v>
      </c>
      <c r="P23" s="24">
        <f>1722071.4+70623</f>
        <v>1792694.4</v>
      </c>
      <c r="Q23" s="24">
        <f>2739055.86+17847.06+675888.87+1136646.61+1312687.85</f>
        <v>5882126.25</v>
      </c>
      <c r="R23" s="24">
        <f t="shared" si="1"/>
        <v>20026972.009999998</v>
      </c>
    </row>
    <row r="24" spans="3:18" x14ac:dyDescent="0.25">
      <c r="C24" s="5" t="s">
        <v>13</v>
      </c>
      <c r="D24" s="24">
        <v>4900000</v>
      </c>
      <c r="E24" s="24">
        <v>12760571.49</v>
      </c>
      <c r="F24" s="24">
        <v>0</v>
      </c>
      <c r="G24" s="24">
        <v>1075306.21</v>
      </c>
      <c r="H24" s="24">
        <v>1052325.8500000001</v>
      </c>
      <c r="I24" s="24">
        <v>1337706.43</v>
      </c>
      <c r="J24" s="24">
        <v>1033160.72</v>
      </c>
      <c r="K24" s="24">
        <v>1021435.17</v>
      </c>
      <c r="L24" s="24">
        <v>1400717.15</v>
      </c>
      <c r="M24" s="24">
        <v>1324897.3400000001</v>
      </c>
      <c r="N24" s="24">
        <v>747291.43</v>
      </c>
      <c r="O24" s="24">
        <v>1039557.02</v>
      </c>
      <c r="P24" s="24">
        <v>1101787.6599999999</v>
      </c>
      <c r="Q24" s="24">
        <f>277296.81+1343272.87</f>
        <v>1620569.6800000002</v>
      </c>
      <c r="R24" s="24">
        <f t="shared" si="1"/>
        <v>12754754.659999998</v>
      </c>
    </row>
    <row r="25" spans="3:18" ht="30" x14ac:dyDescent="0.25">
      <c r="C25" s="29" t="s">
        <v>14</v>
      </c>
      <c r="D25" s="24">
        <v>5400000</v>
      </c>
      <c r="E25" s="24">
        <v>4385558.16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1887334.14</v>
      </c>
      <c r="M25" s="24">
        <v>0</v>
      </c>
      <c r="N25" s="24">
        <v>0</v>
      </c>
      <c r="O25" s="24">
        <v>74085.66</v>
      </c>
      <c r="P25" s="24">
        <f>64900+1747233.33</f>
        <v>1812133.33</v>
      </c>
      <c r="Q25" s="24">
        <f>500+82600+26705.76+1718829.8+378626.6</f>
        <v>2207262.16</v>
      </c>
      <c r="R25" s="24">
        <f t="shared" si="1"/>
        <v>5980815.29</v>
      </c>
    </row>
    <row r="26" spans="3:18" x14ac:dyDescent="0.25">
      <c r="C26" s="5" t="s">
        <v>15</v>
      </c>
      <c r="D26" s="24">
        <v>100625022</v>
      </c>
      <c r="E26" s="24">
        <v>8262006.7000000002</v>
      </c>
      <c r="F26" s="24">
        <v>0</v>
      </c>
      <c r="G26" s="24">
        <v>0</v>
      </c>
      <c r="H26" s="24">
        <v>0</v>
      </c>
      <c r="I26" s="24">
        <v>1700000</v>
      </c>
      <c r="J26" s="24">
        <v>0</v>
      </c>
      <c r="K26" s="24">
        <v>0</v>
      </c>
      <c r="L26" s="24">
        <v>1072051.6200000001</v>
      </c>
      <c r="M26" s="24">
        <v>0</v>
      </c>
      <c r="N26" s="24">
        <v>0</v>
      </c>
      <c r="O26" s="24">
        <v>452634.7</v>
      </c>
      <c r="P26" s="24">
        <v>0</v>
      </c>
      <c r="Q26" s="24">
        <f>21529.26+55460+133452.53+591175+20060+541325.75+1381500+330631.66+6600</f>
        <v>3081734.2</v>
      </c>
      <c r="R26" s="24">
        <f t="shared" si="1"/>
        <v>6306420.5200000005</v>
      </c>
    </row>
    <row r="27" spans="3:18" x14ac:dyDescent="0.25">
      <c r="C27" s="5" t="s">
        <v>16</v>
      </c>
      <c r="D27" s="24">
        <v>2200000</v>
      </c>
      <c r="E27" s="24">
        <v>2709759.53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786634.12</v>
      </c>
      <c r="M27" s="24">
        <v>0</v>
      </c>
      <c r="N27" s="24">
        <v>0</v>
      </c>
      <c r="O27" s="24">
        <v>0</v>
      </c>
      <c r="P27" s="24">
        <v>0</v>
      </c>
      <c r="Q27" s="24">
        <f>38630.05+1661848.06+218934.42</f>
        <v>1919412.53</v>
      </c>
      <c r="R27" s="24">
        <f t="shared" si="1"/>
        <v>2706046.65</v>
      </c>
    </row>
    <row r="28" spans="3:18" x14ac:dyDescent="0.25">
      <c r="C28" s="3" t="s">
        <v>17</v>
      </c>
      <c r="D28" s="25">
        <f>D29+D30+D31+D32+D33+D34+D35+D37</f>
        <v>15857000</v>
      </c>
      <c r="E28" s="25">
        <f>E29+E30+E31+E32+E33+E34+E35+E37</f>
        <v>16862824.350000001</v>
      </c>
      <c r="F28" s="25">
        <f t="shared" ref="F28:R28" si="3">F29+F30+F31+F32+F33+F34+F35+F37</f>
        <v>479407</v>
      </c>
      <c r="G28" s="25">
        <f t="shared" si="3"/>
        <v>557408</v>
      </c>
      <c r="H28" s="25">
        <f t="shared" si="3"/>
        <v>0</v>
      </c>
      <c r="I28" s="25">
        <f t="shared" si="3"/>
        <v>57087.61</v>
      </c>
      <c r="J28" s="25">
        <f t="shared" si="3"/>
        <v>0</v>
      </c>
      <c r="K28" s="25">
        <f t="shared" si="3"/>
        <v>0</v>
      </c>
      <c r="L28" s="25">
        <f t="shared" si="3"/>
        <v>4917463.04</v>
      </c>
      <c r="M28" s="25">
        <f t="shared" si="3"/>
        <v>0</v>
      </c>
      <c r="N28" s="25">
        <f t="shared" si="3"/>
        <v>0</v>
      </c>
      <c r="O28" s="25">
        <f t="shared" si="3"/>
        <v>2630165.67</v>
      </c>
      <c r="P28" s="25">
        <f t="shared" si="3"/>
        <v>450000</v>
      </c>
      <c r="Q28" s="25">
        <f t="shared" si="3"/>
        <v>7572736.3500000006</v>
      </c>
      <c r="R28" s="25">
        <f t="shared" si="3"/>
        <v>16664267.67</v>
      </c>
    </row>
    <row r="29" spans="3:18" x14ac:dyDescent="0.25">
      <c r="C29" s="5" t="s">
        <v>18</v>
      </c>
      <c r="D29" s="24">
        <v>800000</v>
      </c>
      <c r="E29" s="24">
        <v>1014480.16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365879.9</v>
      </c>
      <c r="M29" s="24">
        <v>0</v>
      </c>
      <c r="N29" s="24">
        <v>0</v>
      </c>
      <c r="O29" s="24">
        <v>224331.34</v>
      </c>
      <c r="P29" s="24">
        <v>0</v>
      </c>
      <c r="Q29" s="24">
        <f>335142.21+70982.95+37</f>
        <v>406162.16000000003</v>
      </c>
      <c r="R29" s="24">
        <f t="shared" ref="R29:R36" si="4">SUM(F29:Q29)</f>
        <v>996373.4</v>
      </c>
    </row>
    <row r="30" spans="3:18" x14ac:dyDescent="0.25">
      <c r="C30" s="5" t="s">
        <v>19</v>
      </c>
      <c r="D30" s="24">
        <v>900000</v>
      </c>
      <c r="E30" s="24">
        <v>195398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649</v>
      </c>
      <c r="P30" s="24">
        <v>0</v>
      </c>
      <c r="Q30" s="24">
        <f>163548+350</f>
        <v>163898</v>
      </c>
      <c r="R30" s="24">
        <f t="shared" si="4"/>
        <v>164547</v>
      </c>
    </row>
    <row r="31" spans="3:18" x14ac:dyDescent="0.25">
      <c r="C31" s="5" t="s">
        <v>20</v>
      </c>
      <c r="D31" s="24">
        <v>925000</v>
      </c>
      <c r="E31" s="24">
        <v>1171418.9099999999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619417.93999999994</v>
      </c>
      <c r="M31" s="24">
        <v>0</v>
      </c>
      <c r="N31" s="24">
        <v>0</v>
      </c>
      <c r="O31" s="24">
        <v>202080.45</v>
      </c>
      <c r="P31" s="24">
        <v>0</v>
      </c>
      <c r="Q31" s="24">
        <f>318479.91+22250</f>
        <v>340729.91</v>
      </c>
      <c r="R31" s="24">
        <f t="shared" si="4"/>
        <v>1162228.2999999998</v>
      </c>
    </row>
    <row r="32" spans="3:18" x14ac:dyDescent="0.25">
      <c r="C32" s="5" t="s">
        <v>21</v>
      </c>
      <c r="D32" s="24">
        <v>420000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4"/>
        <v>0</v>
      </c>
    </row>
    <row r="33" spans="3:18" x14ac:dyDescent="0.25">
      <c r="C33" s="5" t="s">
        <v>22</v>
      </c>
      <c r="D33" s="24">
        <v>1400000</v>
      </c>
      <c r="E33" s="24">
        <v>449876.88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f>111583.69+1194.51+49548.74</f>
        <v>162326.94</v>
      </c>
      <c r="M33" s="24">
        <v>0</v>
      </c>
      <c r="N33" s="24">
        <v>0</v>
      </c>
      <c r="O33" s="24">
        <v>3606.73</v>
      </c>
      <c r="P33" s="24">
        <v>0</v>
      </c>
      <c r="Q33" s="24">
        <f>264557.04+7109.84</f>
        <v>271666.88</v>
      </c>
      <c r="R33" s="24">
        <f t="shared" si="4"/>
        <v>437600.55000000005</v>
      </c>
    </row>
    <row r="34" spans="3:18" x14ac:dyDescent="0.25">
      <c r="C34" s="5" t="s">
        <v>23</v>
      </c>
      <c r="D34" s="24">
        <v>342000</v>
      </c>
      <c r="E34" s="24">
        <v>278324.24</v>
      </c>
      <c r="F34" s="24">
        <v>0</v>
      </c>
      <c r="G34" s="24">
        <v>0</v>
      </c>
      <c r="H34" s="24">
        <v>0</v>
      </c>
      <c r="I34" s="24">
        <v>52122.96</v>
      </c>
      <c r="J34" s="24">
        <v>0</v>
      </c>
      <c r="K34" s="24">
        <v>0</v>
      </c>
      <c r="L34" s="24">
        <f>3365+2832.7+455+27367.4+11207.94</f>
        <v>45228.04</v>
      </c>
      <c r="M34" s="24">
        <v>0</v>
      </c>
      <c r="N34" s="24">
        <v>0</v>
      </c>
      <c r="O34" s="24">
        <v>11585.29</v>
      </c>
      <c r="P34" s="24">
        <v>0</v>
      </c>
      <c r="Q34" s="24">
        <f>1639.8+755+2884.05+19265.98+68083.41</f>
        <v>92628.24</v>
      </c>
      <c r="R34" s="24">
        <f t="shared" si="4"/>
        <v>201564.53000000003</v>
      </c>
    </row>
    <row r="35" spans="3:18" x14ac:dyDescent="0.25">
      <c r="C35" s="5" t="s">
        <v>24</v>
      </c>
      <c r="D35" s="24">
        <v>6350000</v>
      </c>
      <c r="E35" s="24">
        <v>11492585.25</v>
      </c>
      <c r="F35" s="24">
        <v>479407</v>
      </c>
      <c r="G35" s="24">
        <v>557408</v>
      </c>
      <c r="H35" s="24">
        <v>0</v>
      </c>
      <c r="I35" s="24">
        <v>0</v>
      </c>
      <c r="J35" s="24">
        <v>0</v>
      </c>
      <c r="K35" s="24">
        <v>0</v>
      </c>
      <c r="L35" s="24">
        <f>2801529.74+5625+3000+1562+1208.6+735+63871.3+225</f>
        <v>2877756.64</v>
      </c>
      <c r="M35" s="24">
        <v>0</v>
      </c>
      <c r="N35" s="24">
        <v>0</v>
      </c>
      <c r="O35" s="24">
        <v>2013128.58</v>
      </c>
      <c r="P35" s="24">
        <v>450000</v>
      </c>
      <c r="Q35" s="24">
        <f>4782254.25+143774.14+425+4400+2899+8790.5+40+8814+148864.36+10878</f>
        <v>5111139.25</v>
      </c>
      <c r="R35" s="24">
        <f t="shared" si="4"/>
        <v>11488839.470000001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f t="shared" si="4"/>
        <v>0</v>
      </c>
    </row>
    <row r="37" spans="3:18" x14ac:dyDescent="0.25">
      <c r="C37" s="5" t="s">
        <v>26</v>
      </c>
      <c r="D37" s="24">
        <v>4720000</v>
      </c>
      <c r="E37" s="24">
        <v>2260740.91</v>
      </c>
      <c r="F37" s="24">
        <v>0</v>
      </c>
      <c r="G37" s="24">
        <v>0</v>
      </c>
      <c r="H37" s="24">
        <v>0</v>
      </c>
      <c r="I37" s="24">
        <v>4964.6499999999996</v>
      </c>
      <c r="J37" s="24">
        <v>0</v>
      </c>
      <c r="K37" s="24">
        <v>0</v>
      </c>
      <c r="L37" s="24">
        <f>151693.57+201129.29+14375.96+58037.35+344296.91+56611.98+13522.35+4307+2879.17</f>
        <v>846853.58</v>
      </c>
      <c r="M37" s="24">
        <v>0</v>
      </c>
      <c r="N37" s="24">
        <v>0</v>
      </c>
      <c r="O37" s="24">
        <v>174784.28</v>
      </c>
      <c r="P37" s="24">
        <v>0</v>
      </c>
      <c r="Q37" s="24">
        <f>237788+189581.9+240+133866+271648.11+295+86799.86+137413.04+128880</f>
        <v>1186511.9099999999</v>
      </c>
      <c r="R37" s="24">
        <f>SUM(F37:Q37)</f>
        <v>2213114.42</v>
      </c>
    </row>
    <row r="38" spans="3:18" x14ac:dyDescent="0.25">
      <c r="C38" s="3" t="s">
        <v>27</v>
      </c>
      <c r="D38" s="25">
        <f>D39</f>
        <v>400000</v>
      </c>
      <c r="E38" s="25">
        <f>E39</f>
        <v>0</v>
      </c>
      <c r="F38" s="25">
        <f t="shared" ref="F38:R38" si="5">F39</f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  <c r="R38" s="25">
        <f t="shared" si="5"/>
        <v>0</v>
      </c>
    </row>
    <row r="39" spans="3:18" x14ac:dyDescent="0.25">
      <c r="C39" s="5" t="s">
        <v>28</v>
      </c>
      <c r="D39" s="24">
        <v>400000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6100000</v>
      </c>
      <c r="E54" s="25">
        <f>E55+E58+E59+E56</f>
        <v>4350000</v>
      </c>
      <c r="F54" s="25">
        <f>F55+F58+F59</f>
        <v>0</v>
      </c>
      <c r="G54" s="25">
        <f>G55+G58+G59</f>
        <v>110353.60000000001</v>
      </c>
      <c r="H54" s="25">
        <f>H55+H58+H59</f>
        <v>1055978.04</v>
      </c>
      <c r="I54" s="25">
        <f>I55+I58+I59</f>
        <v>48385.61</v>
      </c>
      <c r="J54" s="25">
        <f>J56</f>
        <v>0</v>
      </c>
      <c r="K54" s="25">
        <f t="shared" ref="K54:P54" si="6">K55+K58+K59</f>
        <v>0</v>
      </c>
      <c r="L54" s="25">
        <f t="shared" si="6"/>
        <v>84290.02</v>
      </c>
      <c r="M54" s="25">
        <f t="shared" si="6"/>
        <v>31258.2</v>
      </c>
      <c r="N54" s="25">
        <f t="shared" si="6"/>
        <v>296715.55</v>
      </c>
      <c r="O54" s="25">
        <f t="shared" si="6"/>
        <v>193914.53</v>
      </c>
      <c r="P54" s="25">
        <f t="shared" si="6"/>
        <v>111020.3</v>
      </c>
      <c r="Q54" s="25">
        <f>Q55+Q58+Q59+Q56</f>
        <v>682726.40000000002</v>
      </c>
      <c r="R54" s="25">
        <f>SUM(F54:Q54)</f>
        <v>2614642.2500000005</v>
      </c>
    </row>
    <row r="55" spans="3:18" x14ac:dyDescent="0.25">
      <c r="C55" s="5" t="s">
        <v>44</v>
      </c>
      <c r="D55" s="24">
        <v>2500000</v>
      </c>
      <c r="E55" s="24">
        <v>3076500</v>
      </c>
      <c r="F55" s="24">
        <v>0</v>
      </c>
      <c r="G55" s="24">
        <v>110353.60000000001</v>
      </c>
      <c r="H55" s="24">
        <v>1055978.04</v>
      </c>
      <c r="I55" s="24">
        <v>0</v>
      </c>
      <c r="J55" s="24">
        <v>0</v>
      </c>
      <c r="K55" s="24">
        <v>0</v>
      </c>
      <c r="L55" s="24">
        <v>0</v>
      </c>
      <c r="M55" s="24">
        <v>31258.2</v>
      </c>
      <c r="N55" s="24">
        <v>296715.55</v>
      </c>
      <c r="O55" s="24">
        <v>193914.53</v>
      </c>
      <c r="P55" s="24">
        <v>111020.3</v>
      </c>
      <c r="Q55" s="24">
        <f>104240.44+259374.96</f>
        <v>363615.4</v>
      </c>
      <c r="R55" s="24">
        <f>SUM(F55:Q55)</f>
        <v>2162855.62</v>
      </c>
    </row>
    <row r="56" spans="3:18" x14ac:dyDescent="0.25">
      <c r="C56" s="5" t="s">
        <v>45</v>
      </c>
      <c r="D56" s="24">
        <v>0</v>
      </c>
      <c r="E56" s="24">
        <v>295000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214611</v>
      </c>
      <c r="R56" s="24">
        <f>SUM(F56:Q56)</f>
        <v>214611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59" si="7">SUM(F57:Q57)</f>
        <v>0</v>
      </c>
    </row>
    <row r="58" spans="3:18" x14ac:dyDescent="0.25">
      <c r="C58" s="5" t="s">
        <v>47</v>
      </c>
      <c r="D58" s="24">
        <v>3500000</v>
      </c>
      <c r="E58" s="24">
        <v>513200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7"/>
        <v>0</v>
      </c>
    </row>
    <row r="59" spans="3:18" x14ac:dyDescent="0.25">
      <c r="C59" s="5" t="s">
        <v>48</v>
      </c>
      <c r="D59" s="24">
        <v>100000</v>
      </c>
      <c r="E59" s="24">
        <v>465300</v>
      </c>
      <c r="F59" s="24">
        <v>0</v>
      </c>
      <c r="G59" s="24">
        <v>0</v>
      </c>
      <c r="H59" s="24">
        <v>0</v>
      </c>
      <c r="I59" s="24">
        <v>48385.61</v>
      </c>
      <c r="J59" s="24">
        <v>0</v>
      </c>
      <c r="K59" s="24">
        <v>0</v>
      </c>
      <c r="L59" s="24">
        <v>84290.02</v>
      </c>
      <c r="M59" s="24">
        <v>0</v>
      </c>
      <c r="N59" s="24">
        <v>0</v>
      </c>
      <c r="O59" s="24">
        <v>0</v>
      </c>
      <c r="P59" s="24">
        <v>0</v>
      </c>
      <c r="Q59" s="24">
        <v>104500</v>
      </c>
      <c r="R59" s="24">
        <f t="shared" si="7"/>
        <v>237175.63</v>
      </c>
    </row>
    <row r="60" spans="3:18" x14ac:dyDescent="0.25">
      <c r="C60" s="5" t="s">
        <v>49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8">
        <f>D54+D38+D28+D18+D12</f>
        <v>302146892</v>
      </c>
      <c r="E85" s="28">
        <f>E54+E38+E28+E18+E12</f>
        <v>309546892</v>
      </c>
      <c r="F85" s="28">
        <f t="shared" ref="F85:R85" si="8">F54+F38+F28+F18+F12</f>
        <v>12839120.190000001</v>
      </c>
      <c r="G85" s="28">
        <f t="shared" si="8"/>
        <v>17981613.310000002</v>
      </c>
      <c r="H85" s="28">
        <f t="shared" si="8"/>
        <v>20495615.039999999</v>
      </c>
      <c r="I85" s="28">
        <f t="shared" si="8"/>
        <v>19897738.960000001</v>
      </c>
      <c r="J85" s="28">
        <f t="shared" si="8"/>
        <v>22696219.619999997</v>
      </c>
      <c r="K85" s="28">
        <f t="shared" si="8"/>
        <v>19111516.260000002</v>
      </c>
      <c r="L85" s="28">
        <f t="shared" si="8"/>
        <v>31783753.470000003</v>
      </c>
      <c r="M85" s="28">
        <f t="shared" si="8"/>
        <v>20042446.799999997</v>
      </c>
      <c r="N85" s="28">
        <f t="shared" si="8"/>
        <v>19654690.93</v>
      </c>
      <c r="O85" s="28">
        <f t="shared" si="8"/>
        <v>37558637.189999998</v>
      </c>
      <c r="P85" s="28">
        <f t="shared" si="8"/>
        <v>34955877.710000001</v>
      </c>
      <c r="Q85" s="28">
        <f t="shared" si="8"/>
        <v>43647379.350000001</v>
      </c>
      <c r="R85" s="28">
        <f t="shared" si="8"/>
        <v>300664608.83000004</v>
      </c>
    </row>
    <row r="91" spans="3:18" ht="13.5" customHeight="1" x14ac:dyDescent="0.3">
      <c r="C91" s="31"/>
      <c r="D91" s="30"/>
      <c r="E91" s="30"/>
      <c r="F91" s="30"/>
      <c r="G91" s="31"/>
      <c r="H91" s="32"/>
      <c r="J91" s="33"/>
      <c r="K91" s="30"/>
    </row>
    <row r="92" spans="3:18" ht="36" customHeight="1" x14ac:dyDescent="0.25"/>
    <row r="93" spans="3:18" ht="18.75" x14ac:dyDescent="0.3">
      <c r="C93" s="31"/>
      <c r="D93" s="31" t="s">
        <v>102</v>
      </c>
      <c r="E93" s="30"/>
      <c r="F93" s="30"/>
      <c r="G93" s="30"/>
      <c r="H93" s="31" t="s">
        <v>103</v>
      </c>
      <c r="J93" s="32"/>
      <c r="L93" s="33"/>
      <c r="M93" s="30"/>
    </row>
    <row r="94" spans="3:18" ht="18.75" x14ac:dyDescent="0.3">
      <c r="C94" s="34"/>
      <c r="D94" s="34" t="s">
        <v>104</v>
      </c>
      <c r="E94" s="32"/>
      <c r="F94" s="30"/>
      <c r="G94" s="30"/>
      <c r="H94" s="34" t="s">
        <v>104</v>
      </c>
      <c r="J94" s="34"/>
      <c r="K94" s="30"/>
      <c r="L94" s="30"/>
      <c r="M94" s="30"/>
    </row>
    <row r="95" spans="3:18" ht="18.75" x14ac:dyDescent="0.3">
      <c r="C95" s="32"/>
      <c r="D95" s="32" t="s">
        <v>105</v>
      </c>
      <c r="E95" s="32"/>
      <c r="F95" s="30"/>
      <c r="G95" s="30"/>
      <c r="H95" s="32" t="s">
        <v>106</v>
      </c>
      <c r="J95" s="32"/>
      <c r="K95" s="30"/>
      <c r="L95" s="30"/>
      <c r="M95" s="30"/>
    </row>
    <row r="96" spans="3:18" ht="18.75" x14ac:dyDescent="0.3">
      <c r="C96" s="32"/>
      <c r="D96" s="32" t="s">
        <v>107</v>
      </c>
      <c r="E96" s="32"/>
      <c r="F96" s="30"/>
      <c r="G96" s="30"/>
      <c r="H96" s="32" t="s">
        <v>108</v>
      </c>
      <c r="J96" s="32"/>
      <c r="K96" s="30"/>
      <c r="L96" s="30"/>
      <c r="M96" s="30"/>
    </row>
    <row r="97" spans="4:13" ht="18.75" x14ac:dyDescent="0.3">
      <c r="F97" s="30"/>
      <c r="G97" s="30"/>
      <c r="H97" s="30"/>
      <c r="J97" s="30"/>
      <c r="K97" s="30"/>
      <c r="L97" s="30"/>
      <c r="M97" s="30"/>
    </row>
    <row r="98" spans="4:13" ht="18.75" x14ac:dyDescent="0.25">
      <c r="D98" s="32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8"/>
  <sheetViews>
    <sheetView showGridLines="0" tabSelected="1" zoomScaleNormal="100" workbookViewId="0">
      <selection activeCell="A16" sqref="A16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1" spans="1:15" ht="5.25" customHeight="1" x14ac:dyDescent="0.25"/>
    <row r="2" spans="1:15" s="30" customFormat="1" ht="20.25" customHeight="1" x14ac:dyDescent="0.3">
      <c r="A2" s="53" t="s">
        <v>98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5" ht="18.75" customHeight="1" x14ac:dyDescent="0.25">
      <c r="A3" s="49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ht="15.75" x14ac:dyDescent="0.25">
      <c r="A4" s="42">
        <v>2022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5" ht="14.25" customHeight="1" x14ac:dyDescent="0.25">
      <c r="A5" s="37" t="s">
        <v>92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13.5" customHeight="1" x14ac:dyDescent="0.25">
      <c r="A6" s="38" t="s">
        <v>77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5.25" customHeight="1" x14ac:dyDescent="0.25"/>
    <row r="8" spans="1:15" ht="33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10318594.130000001</v>
      </c>
      <c r="C10" s="25">
        <f t="shared" ref="C10:M10" si="0">C11+C12+C15</f>
        <v>13121888.960000001</v>
      </c>
      <c r="D10" s="25">
        <f t="shared" si="0"/>
        <v>16495577.430000002</v>
      </c>
      <c r="E10" s="25">
        <f t="shared" si="0"/>
        <v>14865946.060000001</v>
      </c>
      <c r="F10" s="25">
        <f t="shared" si="0"/>
        <v>14325419.569999998</v>
      </c>
      <c r="G10" s="25">
        <f t="shared" si="0"/>
        <v>14434653.82</v>
      </c>
      <c r="H10" s="25">
        <f t="shared" si="0"/>
        <v>14260976.210000001</v>
      </c>
      <c r="I10" s="25">
        <f>I11+I12+I15</f>
        <v>14528236.569999998</v>
      </c>
      <c r="J10" s="25">
        <f t="shared" si="0"/>
        <v>14572794.84</v>
      </c>
      <c r="K10" s="25">
        <f t="shared" si="0"/>
        <v>26863890.579999998</v>
      </c>
      <c r="L10" s="25">
        <f t="shared" si="0"/>
        <v>25505472.629999999</v>
      </c>
      <c r="M10" s="25">
        <f t="shared" si="0"/>
        <v>16081185.75</v>
      </c>
      <c r="N10" s="25">
        <f>SUM(B10:M10)</f>
        <v>195374636.55000001</v>
      </c>
    </row>
    <row r="11" spans="1:15" ht="17.25" customHeight="1" x14ac:dyDescent="0.25">
      <c r="A11" s="5" t="s">
        <v>2</v>
      </c>
      <c r="B11" s="24">
        <v>8974683.2300000004</v>
      </c>
      <c r="C11" s="24">
        <v>11122082.23</v>
      </c>
      <c r="D11" s="24">
        <v>14305060.630000001</v>
      </c>
      <c r="E11" s="24">
        <v>12770064.17</v>
      </c>
      <c r="F11" s="24">
        <v>12223128.039999999</v>
      </c>
      <c r="G11" s="24">
        <f>11312997.65+20000+464300+135000+413810.23</f>
        <v>12346107.880000001</v>
      </c>
      <c r="H11" s="24">
        <v>12144258.17</v>
      </c>
      <c r="I11" s="24">
        <v>12354724.119999999</v>
      </c>
      <c r="J11" s="24">
        <v>12395949.66</v>
      </c>
      <c r="K11" s="24">
        <v>24683347.859999999</v>
      </c>
      <c r="L11" s="24">
        <v>23419321.25</v>
      </c>
      <c r="M11" s="24">
        <v>13846671.65</v>
      </c>
      <c r="N11" s="24">
        <f>SUM(B11:M11)</f>
        <v>170585398.89000002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326500</v>
      </c>
      <c r="I12" s="24">
        <v>333500</v>
      </c>
      <c r="J12" s="24">
        <v>333500</v>
      </c>
      <c r="K12" s="24">
        <v>333500</v>
      </c>
      <c r="L12" s="24">
        <v>333500</v>
      </c>
      <c r="M12" s="24">
        <v>333500</v>
      </c>
      <c r="N12" s="24">
        <f>SUM(B12:M12)</f>
        <v>3995000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1010410.9</v>
      </c>
      <c r="C15" s="24">
        <v>1666306.73</v>
      </c>
      <c r="D15" s="24">
        <v>1857016.8</v>
      </c>
      <c r="E15" s="24">
        <v>1762381.89</v>
      </c>
      <c r="F15" s="24">
        <v>1768791.53</v>
      </c>
      <c r="G15" s="24">
        <f>817524.84+837608.12+99912.98</f>
        <v>1755045.94</v>
      </c>
      <c r="H15" s="24">
        <v>1790218.04</v>
      </c>
      <c r="I15" s="24">
        <v>1840012.45</v>
      </c>
      <c r="J15" s="24">
        <v>1843345.18</v>
      </c>
      <c r="K15" s="24">
        <f>860815.91+880960.22+105266.59</f>
        <v>1847042.72</v>
      </c>
      <c r="L15" s="24">
        <v>1752651.38</v>
      </c>
      <c r="M15" s="24">
        <v>1901014.1</v>
      </c>
      <c r="N15" s="24">
        <f>SUM(B15:M15)</f>
        <v>20794237.659999996</v>
      </c>
    </row>
    <row r="16" spans="1:15" ht="17.25" customHeight="1" x14ac:dyDescent="0.25">
      <c r="A16" s="3" t="s">
        <v>7</v>
      </c>
      <c r="B16" s="25">
        <f>B17+B18+B19+B20+B21+B22+B23+B24</f>
        <v>2041119.06</v>
      </c>
      <c r="C16" s="25">
        <f t="shared" ref="C16:K16" si="1">C17+C18+C19+C20+C21+C22+C23+C24</f>
        <v>4191962.75</v>
      </c>
      <c r="D16" s="25">
        <f t="shared" si="1"/>
        <v>2944059.5700000003</v>
      </c>
      <c r="E16" s="25">
        <f t="shared" si="1"/>
        <v>4926319.68</v>
      </c>
      <c r="F16" s="25">
        <f t="shared" si="1"/>
        <v>8370800.0499999998</v>
      </c>
      <c r="G16" s="25">
        <f t="shared" si="1"/>
        <v>4676862.4399999995</v>
      </c>
      <c r="H16" s="25">
        <f>H17+H18+H19+H20+H21+H22+H23+H24+H25</f>
        <v>12521024.200000001</v>
      </c>
      <c r="I16" s="25">
        <f>I17+I18+I19+I20+I21+I22+I23+I24+I25</f>
        <v>5482952.0300000003</v>
      </c>
      <c r="J16" s="25">
        <f t="shared" si="1"/>
        <v>4785180.54</v>
      </c>
      <c r="K16" s="25">
        <f t="shared" si="1"/>
        <v>7870666.4100000011</v>
      </c>
      <c r="L16" s="25">
        <f>L17+L18+L19+L20+L21+L22+L23+L24</f>
        <v>8889384.7800000012</v>
      </c>
      <c r="M16" s="25">
        <f>M17+M18+M19+M20+M21+M22+M23+M24+M25</f>
        <v>19310730.850000001</v>
      </c>
      <c r="N16" s="25">
        <f>N17+N18+N19+N20+N21+N22+N23+N24+N25</f>
        <v>86011062.360000014</v>
      </c>
    </row>
    <row r="17" spans="1:14" ht="17.25" customHeight="1" x14ac:dyDescent="0.25">
      <c r="A17" s="5" t="s">
        <v>8</v>
      </c>
      <c r="B17" s="24">
        <v>2041119.06</v>
      </c>
      <c r="C17" s="24">
        <v>3116656.54</v>
      </c>
      <c r="D17" s="24">
        <v>1891733.72</v>
      </c>
      <c r="E17" s="24">
        <v>1888613.25</v>
      </c>
      <c r="F17" s="24">
        <v>2315450.12</v>
      </c>
      <c r="G17" s="24">
        <f>802287.11+311634.37+927887.24+609180.71</f>
        <v>2650989.4299999997</v>
      </c>
      <c r="H17" s="24">
        <v>2786366.52</v>
      </c>
      <c r="I17" s="24">
        <v>2487415.25</v>
      </c>
      <c r="J17" s="24">
        <v>2238722.17</v>
      </c>
      <c r="K17" s="24">
        <f>619588.84+242198.7+922726.27+89848.09+11475</f>
        <v>1885836.9000000001</v>
      </c>
      <c r="L17" s="24">
        <v>2991569.39</v>
      </c>
      <c r="M17" s="24">
        <v>2548985.85</v>
      </c>
      <c r="N17" s="24">
        <f>SUM(B17:M17)</f>
        <v>28843458.200000003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226114</v>
      </c>
      <c r="I18" s="24">
        <v>0</v>
      </c>
      <c r="J18" s="24">
        <v>0</v>
      </c>
      <c r="K18" s="24">
        <v>18277.740000000002</v>
      </c>
      <c r="L18" s="24">
        <v>0</v>
      </c>
      <c r="M18" s="24">
        <v>101536.65</v>
      </c>
      <c r="N18" s="24">
        <f t="shared" ref="N18:N23" si="2">SUM(B18:M18)</f>
        <v>345928.39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2470380</v>
      </c>
      <c r="I19" s="24">
        <v>0</v>
      </c>
      <c r="J19" s="24">
        <v>0</v>
      </c>
      <c r="K19" s="24">
        <v>2887185</v>
      </c>
      <c r="L19" s="24">
        <v>1191200</v>
      </c>
      <c r="M19" s="24">
        <v>1663037.5</v>
      </c>
      <c r="N19" s="24">
        <f t="shared" si="2"/>
        <v>8211802.5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489184.37</v>
      </c>
      <c r="I20" s="24">
        <v>0</v>
      </c>
      <c r="J20" s="24">
        <v>0</v>
      </c>
      <c r="K20" s="24">
        <f>40312.87+14010.87+5290</f>
        <v>59613.740000000005</v>
      </c>
      <c r="L20" s="24">
        <v>0</v>
      </c>
      <c r="M20" s="24">
        <v>286066.03000000003</v>
      </c>
      <c r="N20" s="24">
        <f t="shared" si="2"/>
        <v>834864.14</v>
      </c>
    </row>
    <row r="21" spans="1:14" ht="17.25" customHeight="1" x14ac:dyDescent="0.25">
      <c r="A21" s="5" t="s">
        <v>12</v>
      </c>
      <c r="B21" s="24">
        <v>0</v>
      </c>
      <c r="C21" s="24">
        <v>0</v>
      </c>
      <c r="D21" s="24">
        <v>0</v>
      </c>
      <c r="E21" s="24">
        <v>0</v>
      </c>
      <c r="F21" s="24">
        <v>5022189.21</v>
      </c>
      <c r="G21" s="24">
        <v>1004437.84</v>
      </c>
      <c r="H21" s="24">
        <v>1402242.28</v>
      </c>
      <c r="I21" s="24">
        <v>1670639.44</v>
      </c>
      <c r="J21" s="24">
        <v>1799166.94</v>
      </c>
      <c r="K21" s="24">
        <f>1447484.44+3428.58+2562.63</f>
        <v>1453475.65</v>
      </c>
      <c r="L21" s="24">
        <v>1792694.4</v>
      </c>
      <c r="M21" s="24">
        <v>5882126.25</v>
      </c>
      <c r="N21" s="24">
        <f t="shared" si="2"/>
        <v>20026972.009999998</v>
      </c>
    </row>
    <row r="22" spans="1:14" ht="17.25" customHeight="1" x14ac:dyDescent="0.25">
      <c r="A22" s="5" t="s">
        <v>13</v>
      </c>
      <c r="B22" s="24">
        <v>0</v>
      </c>
      <c r="C22" s="24">
        <v>1075306.21</v>
      </c>
      <c r="D22" s="24">
        <v>1052325.8500000001</v>
      </c>
      <c r="E22" s="24">
        <v>1337706.43</v>
      </c>
      <c r="F22" s="24">
        <v>1033160.72</v>
      </c>
      <c r="G22" s="24">
        <v>1021435.17</v>
      </c>
      <c r="H22" s="24">
        <v>1400717.15</v>
      </c>
      <c r="I22" s="24">
        <v>1324897.3400000001</v>
      </c>
      <c r="J22" s="24">
        <v>747291.43</v>
      </c>
      <c r="K22" s="24">
        <f>9977.5+1029579.52</f>
        <v>1039557.02</v>
      </c>
      <c r="L22" s="24">
        <v>1101787.6599999999</v>
      </c>
      <c r="M22" s="24">
        <v>1620569.68</v>
      </c>
      <c r="N22" s="24">
        <f t="shared" si="2"/>
        <v>12754754.659999998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1887334.14</v>
      </c>
      <c r="I23" s="24">
        <v>0</v>
      </c>
      <c r="J23" s="24">
        <v>0</v>
      </c>
      <c r="K23" s="24">
        <f>163.5+8688.95+35514.21+29719</f>
        <v>74085.66</v>
      </c>
      <c r="L23" s="24">
        <v>1812133.33</v>
      </c>
      <c r="M23" s="24">
        <v>2207262.16</v>
      </c>
      <c r="N23" s="24">
        <f t="shared" si="2"/>
        <v>5980815.29</v>
      </c>
    </row>
    <row r="24" spans="1:14" ht="17.25" customHeight="1" x14ac:dyDescent="0.25">
      <c r="A24" s="5" t="s">
        <v>15</v>
      </c>
      <c r="B24" s="24">
        <v>0</v>
      </c>
      <c r="C24" s="24">
        <v>0</v>
      </c>
      <c r="D24" s="24">
        <v>0</v>
      </c>
      <c r="E24" s="24">
        <v>1700000</v>
      </c>
      <c r="F24" s="24">
        <v>0</v>
      </c>
      <c r="G24" s="24">
        <v>0</v>
      </c>
      <c r="H24" s="24">
        <v>1072051.6200000001</v>
      </c>
      <c r="I24" s="24">
        <v>0</v>
      </c>
      <c r="J24" s="24">
        <v>0</v>
      </c>
      <c r="K24" s="24">
        <f>8194.7+91800+250000+16500+86140</f>
        <v>452634.7</v>
      </c>
      <c r="L24" s="24">
        <v>0</v>
      </c>
      <c r="M24" s="24">
        <v>3081734.2</v>
      </c>
      <c r="N24" s="24">
        <f>SUM(B24:M24)</f>
        <v>6306420.5200000005</v>
      </c>
    </row>
    <row r="25" spans="1:14" ht="17.25" customHeight="1" x14ac:dyDescent="0.25">
      <c r="A25" s="5" t="s">
        <v>16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786634.12</v>
      </c>
      <c r="I25" s="24">
        <v>0</v>
      </c>
      <c r="J25" s="24">
        <v>0</v>
      </c>
      <c r="K25" s="24">
        <v>0</v>
      </c>
      <c r="L25" s="24">
        <v>0</v>
      </c>
      <c r="M25" s="24">
        <v>1919412.53</v>
      </c>
      <c r="N25" s="24">
        <f>SUM(B25:M25)</f>
        <v>2706046.65</v>
      </c>
    </row>
    <row r="26" spans="1:14" ht="17.25" customHeight="1" x14ac:dyDescent="0.25">
      <c r="A26" s="3" t="s">
        <v>17</v>
      </c>
      <c r="B26" s="25">
        <f>B27+B28+B29+B30+B31+B32+B33</f>
        <v>479407</v>
      </c>
      <c r="C26" s="25">
        <f>C27+C28+C29+C30+C31+C32+C33</f>
        <v>557408</v>
      </c>
      <c r="D26" s="25">
        <f>D27+D28+D29+D30+D31+D32</f>
        <v>0</v>
      </c>
      <c r="E26" s="25">
        <f>E27+E28+E29+E30+E31+E32+E35</f>
        <v>57087.61</v>
      </c>
      <c r="F26" s="25">
        <f>F27+F28+F29+F30+F31+F32</f>
        <v>0</v>
      </c>
      <c r="G26" s="25">
        <f>G27+G28+G29+G30+G31+G32</f>
        <v>0</v>
      </c>
      <c r="H26" s="25">
        <f>H27+H28+H29+H30+H31+H32+H33+H35</f>
        <v>4917463.04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2630165.6699999995</v>
      </c>
      <c r="L26" s="25">
        <f>L27+L28+L29+L30+L31+L32+L33+L35</f>
        <v>450000</v>
      </c>
      <c r="M26" s="25">
        <f>M27+M28+M29+M30+M31+M32+M33+M35</f>
        <v>7572736.3499999996</v>
      </c>
      <c r="N26" s="25">
        <f>N27+N28+N29+N30+N31+N32+N33+N35</f>
        <v>16664267.67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365879.9</v>
      </c>
      <c r="I27" s="24">
        <v>0</v>
      </c>
      <c r="J27" s="24">
        <v>0</v>
      </c>
      <c r="K27" s="24">
        <f>89796.33+134435.01+100</f>
        <v>224331.34000000003</v>
      </c>
      <c r="L27" s="24">
        <v>0</v>
      </c>
      <c r="M27" s="24">
        <v>406162.16</v>
      </c>
      <c r="N27" s="24">
        <f t="shared" ref="N27:N35" si="3">SUM(B27:M27)</f>
        <v>996373.39999999991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649</v>
      </c>
      <c r="L28" s="24">
        <v>0</v>
      </c>
      <c r="M28" s="24">
        <v>163898</v>
      </c>
      <c r="N28" s="24">
        <f t="shared" si="3"/>
        <v>164547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619417.93999999994</v>
      </c>
      <c r="I29" s="24">
        <v>0</v>
      </c>
      <c r="J29" s="24">
        <v>0</v>
      </c>
      <c r="K29" s="24">
        <f>157084.55+44995.9</f>
        <v>202080.44999999998</v>
      </c>
      <c r="L29" s="24">
        <v>0</v>
      </c>
      <c r="M29" s="24">
        <v>340729.91</v>
      </c>
      <c r="N29" s="24">
        <f t="shared" si="3"/>
        <v>1162228.2999999998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162326.94</v>
      </c>
      <c r="I31" s="24">
        <v>0</v>
      </c>
      <c r="J31" s="24">
        <v>0</v>
      </c>
      <c r="K31" s="24">
        <v>3606.73</v>
      </c>
      <c r="L31" s="24">
        <v>0</v>
      </c>
      <c r="M31" s="24">
        <v>271666.88</v>
      </c>
      <c r="N31" s="24">
        <f t="shared" si="3"/>
        <v>437600.55000000005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52122.96</v>
      </c>
      <c r="F32" s="24">
        <v>0</v>
      </c>
      <c r="G32" s="24">
        <v>0</v>
      </c>
      <c r="H32" s="24">
        <v>45228.04</v>
      </c>
      <c r="I32" s="24">
        <v>0</v>
      </c>
      <c r="J32" s="24">
        <v>0</v>
      </c>
      <c r="K32" s="24">
        <f>478.5+300+130+240+7986.79+2450</f>
        <v>11585.29</v>
      </c>
      <c r="L32" s="24">
        <v>0</v>
      </c>
      <c r="M32" s="24">
        <v>92628.24</v>
      </c>
      <c r="N32" s="24">
        <f t="shared" si="3"/>
        <v>201564.53000000003</v>
      </c>
    </row>
    <row r="33" spans="1:14" ht="17.25" customHeight="1" x14ac:dyDescent="0.25">
      <c r="A33" s="5" t="s">
        <v>24</v>
      </c>
      <c r="B33" s="24">
        <v>479407</v>
      </c>
      <c r="C33" s="24">
        <v>557408</v>
      </c>
      <c r="D33" s="24">
        <v>0</v>
      </c>
      <c r="E33" s="24">
        <v>0</v>
      </c>
      <c r="F33" s="24">
        <v>0</v>
      </c>
      <c r="G33" s="24">
        <v>0</v>
      </c>
      <c r="H33" s="24">
        <v>2877756.64</v>
      </c>
      <c r="I33" s="24">
        <v>0</v>
      </c>
      <c r="J33" s="24">
        <v>0</v>
      </c>
      <c r="K33" s="24">
        <f>1986569.8+5399.93+1000+975+9629.45+9554.4</f>
        <v>2013128.5799999998</v>
      </c>
      <c r="L33" s="24">
        <v>450000</v>
      </c>
      <c r="M33" s="24">
        <v>5111139.25</v>
      </c>
      <c r="N33" s="24">
        <f t="shared" si="3"/>
        <v>11488839.469999999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0</v>
      </c>
      <c r="E35" s="24">
        <f>682.17+4282.48</f>
        <v>4964.6499999999996</v>
      </c>
      <c r="F35" s="24">
        <v>0</v>
      </c>
      <c r="G35" s="24">
        <v>0</v>
      </c>
      <c r="H35" s="24">
        <v>846853.58</v>
      </c>
      <c r="I35" s="24">
        <v>0</v>
      </c>
      <c r="J35" s="24">
        <v>0</v>
      </c>
      <c r="K35" s="24">
        <f>30282.43+99558.48+295+1290+12579.93+177.5+30600.94</f>
        <v>174784.28</v>
      </c>
      <c r="L35" s="24">
        <v>0</v>
      </c>
      <c r="M35" s="24">
        <v>1186511.9099999999</v>
      </c>
      <c r="N35" s="24">
        <f t="shared" si="3"/>
        <v>2213114.42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110353.60000000001</v>
      </c>
      <c r="D52" s="25">
        <f>D53</f>
        <v>1055978.04</v>
      </c>
      <c r="E52" s="25">
        <f>E53+E57</f>
        <v>48385.61</v>
      </c>
      <c r="F52" s="25">
        <f>F54</f>
        <v>0</v>
      </c>
      <c r="G52" s="25">
        <f>G54</f>
        <v>0</v>
      </c>
      <c r="H52" s="25">
        <f>H53+H57</f>
        <v>84290.02</v>
      </c>
      <c r="I52" s="25">
        <f>I53</f>
        <v>31258.2</v>
      </c>
      <c r="J52" s="25">
        <f>J53</f>
        <v>296715.55</v>
      </c>
      <c r="K52" s="25">
        <f>K53</f>
        <v>193914.53</v>
      </c>
      <c r="L52" s="25">
        <f>L53</f>
        <v>111020.3</v>
      </c>
      <c r="M52" s="25">
        <f>M53+M54+M57</f>
        <v>682726.40000000002</v>
      </c>
      <c r="N52" s="25">
        <f>SUM(B52:M52)</f>
        <v>2614642.2500000005</v>
      </c>
    </row>
    <row r="53" spans="1:14" ht="17.25" customHeight="1" x14ac:dyDescent="0.25">
      <c r="A53" s="5" t="s">
        <v>44</v>
      </c>
      <c r="B53" s="24">
        <v>0</v>
      </c>
      <c r="C53" s="24">
        <v>110353.60000000001</v>
      </c>
      <c r="D53" s="24">
        <v>1055978.04</v>
      </c>
      <c r="E53" s="24">
        <v>0</v>
      </c>
      <c r="F53" s="24">
        <v>0</v>
      </c>
      <c r="G53" s="24">
        <v>0</v>
      </c>
      <c r="H53" s="24">
        <v>0</v>
      </c>
      <c r="I53" s="24">
        <v>31258.2</v>
      </c>
      <c r="J53" s="24">
        <v>296715.55</v>
      </c>
      <c r="K53" s="24">
        <v>193914.53</v>
      </c>
      <c r="L53" s="24">
        <v>111020.3</v>
      </c>
      <c r="M53" s="24">
        <v>363615.4</v>
      </c>
      <c r="N53" s="24">
        <f>SUM(B53:M53)</f>
        <v>2162855.62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214611</v>
      </c>
      <c r="N54" s="24">
        <f>SUM(B54:M54)</f>
        <v>214611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48385.61</v>
      </c>
      <c r="F57" s="24">
        <v>0</v>
      </c>
      <c r="G57" s="24">
        <v>0</v>
      </c>
      <c r="H57" s="24">
        <v>84290.02</v>
      </c>
      <c r="I57" s="24">
        <v>0</v>
      </c>
      <c r="J57" s="24">
        <v>0</v>
      </c>
      <c r="K57" s="24">
        <v>0</v>
      </c>
      <c r="L57" s="24">
        <v>0</v>
      </c>
      <c r="M57" s="24">
        <v>104500</v>
      </c>
      <c r="N57" s="24">
        <f>SUM(B57:M57)</f>
        <v>237175.63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12839120.190000001</v>
      </c>
      <c r="C83" s="26">
        <f>C52+C16+C10+C26</f>
        <v>17981613.310000002</v>
      </c>
      <c r="D83" s="26">
        <f>D52+D16+D10+D26</f>
        <v>20495615.040000003</v>
      </c>
      <c r="E83" s="26">
        <f>E52+E16+E10+E26</f>
        <v>19897738.960000001</v>
      </c>
      <c r="F83" s="26">
        <f>F52+F16+F10</f>
        <v>22696219.619999997</v>
      </c>
      <c r="G83" s="26">
        <f>G52+G16+G10</f>
        <v>19111516.259999998</v>
      </c>
      <c r="H83" s="26">
        <f>H52+H16+H10+H26</f>
        <v>31783753.469999999</v>
      </c>
      <c r="I83" s="26">
        <f>I52+I26+I16+I10</f>
        <v>20042446.799999997</v>
      </c>
      <c r="J83" s="26">
        <f>J52+J16+J10</f>
        <v>19654690.93</v>
      </c>
      <c r="K83" s="26">
        <f>K52+K16+K10+K26</f>
        <v>37558637.189999998</v>
      </c>
      <c r="L83" s="26">
        <f>L52+L16+L10+L26</f>
        <v>34955877.710000001</v>
      </c>
      <c r="M83" s="26">
        <f>M10+M16+M52+M26</f>
        <v>43647379.350000001</v>
      </c>
      <c r="N83" s="26">
        <f>N52+N26+N16+N10</f>
        <v>300664608.83000004</v>
      </c>
    </row>
    <row r="85" spans="1:14" x14ac:dyDescent="0.25">
      <c r="B85" s="51" t="s">
        <v>110</v>
      </c>
      <c r="C85" s="51"/>
      <c r="D85" t="s">
        <v>111</v>
      </c>
      <c r="H85" s="51" t="s">
        <v>112</v>
      </c>
      <c r="I85" s="51"/>
      <c r="J85" s="51"/>
    </row>
    <row r="86" spans="1:14" ht="28.5" customHeight="1" x14ac:dyDescent="0.25">
      <c r="B86" s="51" t="s">
        <v>113</v>
      </c>
      <c r="C86" s="51"/>
      <c r="H86" s="51" t="s">
        <v>115</v>
      </c>
      <c r="I86" s="51"/>
      <c r="J86" s="51"/>
    </row>
    <row r="87" spans="1:14" x14ac:dyDescent="0.25">
      <c r="B87" s="52" t="s">
        <v>109</v>
      </c>
      <c r="C87" s="52"/>
      <c r="H87" s="52" t="s">
        <v>114</v>
      </c>
      <c r="I87" s="52"/>
      <c r="J87" s="52"/>
    </row>
    <row r="88" spans="1:14" x14ac:dyDescent="0.25">
      <c r="B88" s="51" t="s">
        <v>116</v>
      </c>
      <c r="C88" s="51"/>
      <c r="H88" s="51" t="s">
        <v>117</v>
      </c>
      <c r="I88" s="51"/>
      <c r="J88" s="51"/>
    </row>
  </sheetData>
  <mergeCells count="13">
    <mergeCell ref="A2:N2"/>
    <mergeCell ref="B85:C85"/>
    <mergeCell ref="B87:C87"/>
    <mergeCell ref="H85:J85"/>
    <mergeCell ref="A3:N3"/>
    <mergeCell ref="A4:N4"/>
    <mergeCell ref="A5:N5"/>
    <mergeCell ref="A6:N6"/>
    <mergeCell ref="B88:C88"/>
    <mergeCell ref="H88:J88"/>
    <mergeCell ref="H87:J87"/>
    <mergeCell ref="H86:J86"/>
    <mergeCell ref="B86:C86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2023-01-11T16:42:26Z</cp:lastPrinted>
  <dcterms:created xsi:type="dcterms:W3CDTF">2021-07-29T18:58:50Z</dcterms:created>
  <dcterms:modified xsi:type="dcterms:W3CDTF">2023-01-11T17:03:54Z</dcterms:modified>
</cp:coreProperties>
</file>