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"/>
    </mc:Choice>
  </mc:AlternateContent>
  <xr:revisionPtr revIDLastSave="0" documentId="13_ncr:1_{E465B828-29DB-4DAD-A647-16B3316EC3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3" l="1"/>
  <c r="N25" i="2"/>
  <c r="N23" i="2"/>
  <c r="N19" i="2"/>
  <c r="N17" i="2"/>
  <c r="E54" i="1"/>
  <c r="K83" i="3"/>
  <c r="K26" i="3"/>
  <c r="K35" i="3"/>
  <c r="K33" i="3"/>
  <c r="K32" i="3"/>
  <c r="K29" i="3"/>
  <c r="K27" i="3"/>
  <c r="K24" i="3"/>
  <c r="K23" i="3"/>
  <c r="K22" i="3"/>
  <c r="K21" i="3"/>
  <c r="K20" i="3"/>
  <c r="K17" i="3"/>
  <c r="K15" i="3"/>
  <c r="L19" i="2"/>
  <c r="L13" i="2"/>
  <c r="L17" i="2"/>
  <c r="P36" i="2"/>
  <c r="P59" i="2"/>
  <c r="P58" i="2"/>
  <c r="P57" i="2"/>
  <c r="K19" i="2"/>
  <c r="K13" i="2"/>
  <c r="K17" i="2"/>
  <c r="H16" i="3" l="1"/>
  <c r="H52" i="3"/>
  <c r="H26" i="3"/>
  <c r="J37" i="2"/>
  <c r="J35" i="2"/>
  <c r="J34" i="2"/>
  <c r="J33" i="2"/>
  <c r="J18" i="2"/>
  <c r="J13" i="2"/>
  <c r="J17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35" i="3"/>
  <c r="E26" i="3" s="1"/>
  <c r="F19" i="2"/>
  <c r="F13" i="2"/>
  <c r="F17" i="2"/>
  <c r="C26" i="3"/>
  <c r="E19" i="2"/>
  <c r="E18" i="2" s="1"/>
  <c r="E17" i="2"/>
  <c r="E13" i="2"/>
  <c r="K52" i="3"/>
  <c r="D52" i="3"/>
  <c r="C52" i="3"/>
  <c r="B52" i="3"/>
  <c r="B26" i="3"/>
  <c r="B18" i="2"/>
  <c r="D18" i="1" l="1"/>
  <c r="M52" i="3"/>
  <c r="M26" i="3"/>
  <c r="M10" i="3"/>
  <c r="C54" i="2"/>
  <c r="O54" i="2"/>
  <c r="C38" i="2"/>
  <c r="C18" i="2"/>
  <c r="N54" i="3"/>
  <c r="L2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M16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P56" i="2"/>
  <c r="P55" i="2"/>
  <c r="H54" i="2"/>
  <c r="N54" i="2"/>
  <c r="M54" i="2"/>
  <c r="L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F54" i="2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I18" i="2"/>
  <c r="H18" i="2"/>
  <c r="G18" i="2"/>
  <c r="F18" i="2"/>
  <c r="D18" i="2"/>
  <c r="O12" i="2"/>
  <c r="N12" i="2"/>
  <c r="M12" i="2"/>
  <c r="L12" i="2"/>
  <c r="K12" i="2"/>
  <c r="J12" i="2"/>
  <c r="I12" i="2"/>
  <c r="H12" i="2"/>
  <c r="G12" i="2"/>
  <c r="F12" i="2"/>
  <c r="E12" i="2"/>
  <c r="D12" i="2"/>
  <c r="B54" i="2"/>
  <c r="B38" i="2"/>
  <c r="C28" i="2"/>
  <c r="B28" i="2"/>
  <c r="B12" i="2"/>
  <c r="C12" i="2"/>
  <c r="P12" i="2" l="1"/>
  <c r="E83" i="3"/>
  <c r="D83" i="3"/>
  <c r="C83" i="3"/>
  <c r="B83" i="3"/>
  <c r="M83" i="3"/>
  <c r="F83" i="3"/>
  <c r="G83" i="3"/>
  <c r="J83" i="3"/>
  <c r="L83" i="3"/>
  <c r="B85" i="2"/>
  <c r="P54" i="2"/>
  <c r="C85" i="2"/>
  <c r="I83" i="3"/>
  <c r="N26" i="3"/>
  <c r="N10" i="3"/>
  <c r="N16" i="3"/>
  <c r="N52" i="3"/>
  <c r="P28" i="2"/>
  <c r="F85" i="2"/>
  <c r="G85" i="2"/>
  <c r="P18" i="2"/>
  <c r="O85" i="2"/>
  <c r="I85" i="2"/>
  <c r="M85" i="2"/>
  <c r="N85" i="2"/>
  <c r="H85" i="2"/>
  <c r="L85" i="2"/>
  <c r="K85" i="2"/>
  <c r="J85" i="2"/>
  <c r="E85" i="2"/>
  <c r="D85" i="2"/>
  <c r="D54" i="1"/>
  <c r="E38" i="1"/>
  <c r="D38" i="1"/>
  <c r="E28" i="1"/>
  <c r="D28" i="1"/>
  <c r="E18" i="1"/>
  <c r="E12" i="1"/>
  <c r="D12" i="1"/>
  <c r="E85" i="1" l="1"/>
  <c r="D85" i="1"/>
  <c r="N83" i="3"/>
  <c r="P85" i="2"/>
</calcChain>
</file>

<file path=xl/sharedStrings.xml><?xml version="1.0" encoding="utf-8"?>
<sst xmlns="http://schemas.openxmlformats.org/spreadsheetml/2006/main" count="290" uniqueCount="110">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</sst>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wrapText="1" indent="1"/>
    </xf>
    <xf numFmtId="0" fontId="3" fillId="0" borderId="1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371476</xdr:colOff>
      <xdr:row>2</xdr:row>
      <xdr:rowOff>123825</xdr:rowOff>
    </xdr:from>
    <xdr:to>
      <xdr:col>16</xdr:col>
      <xdr:colOff>47626</xdr:colOff>
      <xdr:row>5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6" y="504825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12</xdr:col>
      <xdr:colOff>647701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C72" sqref="C72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200966688.45999998</v>
      </c>
      <c r="F12" s="8"/>
    </row>
    <row r="13" spans="2:16" x14ac:dyDescent="0.25">
      <c r="C13" s="5" t="s">
        <v>2</v>
      </c>
      <c r="D13" s="6">
        <v>93300360</v>
      </c>
      <c r="E13" s="6">
        <v>163266296.81999999</v>
      </c>
      <c r="F13" s="8"/>
    </row>
    <row r="14" spans="2:16" x14ac:dyDescent="0.25">
      <c r="C14" s="5" t="s">
        <v>3</v>
      </c>
      <c r="D14" s="6">
        <v>16002000</v>
      </c>
      <c r="E14" s="6">
        <v>15483545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89260864.539999992</v>
      </c>
      <c r="F18" s="8"/>
    </row>
    <row r="19" spans="3:6" x14ac:dyDescent="0.25">
      <c r="C19" s="5" t="s">
        <v>8</v>
      </c>
      <c r="D19" s="6">
        <v>22370000</v>
      </c>
      <c r="E19" s="6">
        <v>27918180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8977635</v>
      </c>
      <c r="F21" s="8"/>
    </row>
    <row r="22" spans="3:6" x14ac:dyDescent="0.25">
      <c r="C22" s="5" t="s">
        <v>11</v>
      </c>
      <c r="D22" s="6">
        <v>2720000</v>
      </c>
      <c r="E22" s="6">
        <v>1941430</v>
      </c>
      <c r="F22" s="8"/>
    </row>
    <row r="23" spans="3:6" x14ac:dyDescent="0.25">
      <c r="C23" s="5" t="s">
        <v>12</v>
      </c>
      <c r="D23" s="6">
        <v>14053244</v>
      </c>
      <c r="E23" s="6">
        <v>19190679.739999998</v>
      </c>
    </row>
    <row r="24" spans="3:6" x14ac:dyDescent="0.25">
      <c r="C24" s="5" t="s">
        <v>13</v>
      </c>
      <c r="D24" s="6">
        <v>4900000</v>
      </c>
      <c r="E24" s="6">
        <v>12418274.68</v>
      </c>
    </row>
    <row r="25" spans="3:6" x14ac:dyDescent="0.25">
      <c r="C25" s="5" t="s">
        <v>14</v>
      </c>
      <c r="D25" s="6">
        <v>5400000</v>
      </c>
      <c r="E25" s="6">
        <v>4753190</v>
      </c>
    </row>
    <row r="26" spans="3:6" x14ac:dyDescent="0.25">
      <c r="C26" s="5" t="s">
        <v>15</v>
      </c>
      <c r="D26" s="6">
        <v>100625022</v>
      </c>
      <c r="E26" s="6">
        <v>10911475.119999999</v>
      </c>
    </row>
    <row r="27" spans="3:6" x14ac:dyDescent="0.25">
      <c r="C27" s="5" t="s">
        <v>16</v>
      </c>
      <c r="D27" s="6">
        <v>2200000</v>
      </c>
      <c r="E27" s="6">
        <v>2300000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14969339</v>
      </c>
    </row>
    <row r="29" spans="3:6" x14ac:dyDescent="0.25">
      <c r="C29" s="5" t="s">
        <v>18</v>
      </c>
      <c r="D29" s="6">
        <v>800000</v>
      </c>
      <c r="E29" s="6">
        <v>857968</v>
      </c>
    </row>
    <row r="30" spans="3:6" x14ac:dyDescent="0.25">
      <c r="C30" s="5" t="s">
        <v>19</v>
      </c>
      <c r="D30" s="6">
        <v>900000</v>
      </c>
      <c r="E30" s="6">
        <v>451500</v>
      </c>
    </row>
    <row r="31" spans="3:6" x14ac:dyDescent="0.25">
      <c r="C31" s="5" t="s">
        <v>20</v>
      </c>
      <c r="D31" s="6">
        <v>925000</v>
      </c>
      <c r="E31" s="6">
        <v>980689</v>
      </c>
    </row>
    <row r="32" spans="3:6" x14ac:dyDescent="0.25">
      <c r="C32" s="5" t="s">
        <v>21</v>
      </c>
      <c r="D32" s="6">
        <v>420000</v>
      </c>
      <c r="E32" s="6">
        <v>0</v>
      </c>
    </row>
    <row r="33" spans="3:5" x14ac:dyDescent="0.25">
      <c r="C33" s="5" t="s">
        <v>22</v>
      </c>
      <c r="D33" s="6">
        <v>1400000</v>
      </c>
      <c r="E33" s="6">
        <v>778210</v>
      </c>
    </row>
    <row r="34" spans="3:5" x14ac:dyDescent="0.25">
      <c r="C34" s="5" t="s">
        <v>23</v>
      </c>
      <c r="D34" s="6">
        <v>342000</v>
      </c>
      <c r="E34" s="6">
        <v>233196</v>
      </c>
    </row>
    <row r="35" spans="3:5" x14ac:dyDescent="0.25">
      <c r="C35" s="5" t="s">
        <v>24</v>
      </c>
      <c r="D35" s="6">
        <v>6350000</v>
      </c>
      <c r="E35" s="6">
        <v>8803547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2864229</v>
      </c>
    </row>
    <row r="38" spans="3:5" x14ac:dyDescent="0.25">
      <c r="C38" s="3" t="s">
        <v>27</v>
      </c>
      <c r="D38" s="4">
        <f>D39</f>
        <v>400000</v>
      </c>
      <c r="E38" s="4">
        <f>E39</f>
        <v>0</v>
      </c>
    </row>
    <row r="39" spans="3:5" x14ac:dyDescent="0.25">
      <c r="C39" s="5" t="s">
        <v>28</v>
      </c>
      <c r="D39" s="6">
        <v>400000</v>
      </c>
      <c r="E39" s="6">
        <v>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E55+E58+E59+E56</f>
        <v>4350000</v>
      </c>
    </row>
    <row r="55" spans="3:5" x14ac:dyDescent="0.25">
      <c r="C55" s="5" t="s">
        <v>44</v>
      </c>
      <c r="D55" s="6">
        <v>2500000</v>
      </c>
      <c r="E55" s="6">
        <v>3076500</v>
      </c>
    </row>
    <row r="56" spans="3:5" x14ac:dyDescent="0.25">
      <c r="C56" s="5" t="s">
        <v>45</v>
      </c>
      <c r="D56" s="6"/>
      <c r="E56" s="6">
        <v>295000</v>
      </c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513200</v>
      </c>
    </row>
    <row r="59" spans="3:5" x14ac:dyDescent="0.25">
      <c r="C59" s="5" t="s">
        <v>48</v>
      </c>
      <c r="D59" s="6">
        <v>100000</v>
      </c>
      <c r="E59" s="6">
        <v>465300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309546892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8"/>
  <sheetViews>
    <sheetView showGridLines="0" tabSelected="1" workbookViewId="0">
      <selection activeCell="F14" sqref="F14"/>
    </sheetView>
  </sheetViews>
  <sheetFormatPr defaultColWidth="11.42578125" defaultRowHeight="15" x14ac:dyDescent="0.25"/>
  <cols>
    <col min="1" max="1" width="50.140625" customWidth="1"/>
    <col min="2" max="2" width="14.42578125" customWidth="1"/>
    <col min="3" max="3" width="14.85546875" customWidth="1"/>
    <col min="4" max="4" width="13.140625" customWidth="1"/>
    <col min="5" max="5" width="13.85546875" customWidth="1"/>
    <col min="6" max="7" width="12.425781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4" customWidth="1"/>
    <col min="14" max="14" width="12.7109375" bestFit="1" customWidth="1"/>
    <col min="15" max="15" width="9.28515625" customWidth="1"/>
    <col min="16" max="16" width="14.7109375" customWidth="1"/>
  </cols>
  <sheetData>
    <row r="3" spans="1:17" ht="28.5" customHeight="1" x14ac:dyDescent="0.25">
      <c r="A3" s="51" t="s">
        <v>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1" customHeight="1" x14ac:dyDescent="0.25">
      <c r="A4" s="53" t="s">
        <v>100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x14ac:dyDescent="0.25">
      <c r="A5" s="46">
        <v>2022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.75" customHeight="1" x14ac:dyDescent="0.25">
      <c r="A6" s="41" t="s">
        <v>92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77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17" ht="25.5" customHeight="1" x14ac:dyDescent="0.25">
      <c r="A9" s="43" t="s">
        <v>66</v>
      </c>
      <c r="B9" s="44" t="s">
        <v>94</v>
      </c>
      <c r="C9" s="44" t="s">
        <v>93</v>
      </c>
      <c r="D9" s="48" t="s">
        <v>91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7" x14ac:dyDescent="0.25">
      <c r="A10" s="43"/>
      <c r="B10" s="45"/>
      <c r="C10" s="45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87</v>
      </c>
      <c r="M10" s="15" t="s">
        <v>88</v>
      </c>
      <c r="N10" s="15" t="s">
        <v>89</v>
      </c>
      <c r="O10" s="16" t="s">
        <v>109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9">
        <f>B13+B14+B17</f>
        <v>122221626</v>
      </c>
      <c r="C12" s="29">
        <f>C13+C14+C17</f>
        <v>200966688.45999998</v>
      </c>
      <c r="D12" s="29">
        <f t="shared" ref="D12:O12" si="0">D13+D14+D17</f>
        <v>10318594.130000001</v>
      </c>
      <c r="E12" s="29">
        <f t="shared" si="0"/>
        <v>13121888.960000001</v>
      </c>
      <c r="F12" s="29">
        <f t="shared" si="0"/>
        <v>16495577.43</v>
      </c>
      <c r="G12" s="29">
        <f t="shared" si="0"/>
        <v>14865946.060000001</v>
      </c>
      <c r="H12" s="29">
        <f t="shared" si="0"/>
        <v>14325419.569999998</v>
      </c>
      <c r="I12" s="29">
        <f t="shared" si="0"/>
        <v>14434653.82</v>
      </c>
      <c r="J12" s="29">
        <f t="shared" si="0"/>
        <v>14260976.210000001</v>
      </c>
      <c r="K12" s="29">
        <f t="shared" si="0"/>
        <v>14528236.569999998</v>
      </c>
      <c r="L12" s="29">
        <f t="shared" si="0"/>
        <v>14572794.839999998</v>
      </c>
      <c r="M12" s="29">
        <f t="shared" si="0"/>
        <v>26863890.579999998</v>
      </c>
      <c r="N12" s="29">
        <f t="shared" si="0"/>
        <v>25505472.629999999</v>
      </c>
      <c r="O12" s="29">
        <f t="shared" si="0"/>
        <v>0</v>
      </c>
      <c r="P12" s="29">
        <f>SUM(D12:O12)</f>
        <v>179293450.80000001</v>
      </c>
    </row>
    <row r="13" spans="1:17" x14ac:dyDescent="0.25">
      <c r="A13" s="33" t="s">
        <v>2</v>
      </c>
      <c r="B13" s="28">
        <v>93300360</v>
      </c>
      <c r="C13" s="28">
        <v>163266296.81999999</v>
      </c>
      <c r="D13" s="28">
        <v>8974683.2300000004</v>
      </c>
      <c r="E13" s="28">
        <f>11102082.23+20000</f>
        <v>11122082.23</v>
      </c>
      <c r="F13" s="28">
        <f>11107126.19+20000+1363000+1442068+372866.44</f>
        <v>14305060.629999999</v>
      </c>
      <c r="G13" s="28">
        <v>12770064.17</v>
      </c>
      <c r="H13" s="28">
        <v>12223128.039999999</v>
      </c>
      <c r="I13" s="28">
        <v>12346107.880000001</v>
      </c>
      <c r="J13" s="28">
        <f>11491330.98+18000+518000+116927.19</f>
        <v>12144258.17</v>
      </c>
      <c r="K13" s="28">
        <f>11833724.12+20000+501000</f>
        <v>12354724.119999999</v>
      </c>
      <c r="L13" s="28">
        <f>11863724.12+20000+496750+15475.54</f>
        <v>12395949.659999998</v>
      </c>
      <c r="M13" s="28">
        <v>24683347.859999999</v>
      </c>
      <c r="N13" s="28">
        <v>23419321.25</v>
      </c>
      <c r="O13" s="28">
        <v>0</v>
      </c>
      <c r="P13" s="28">
        <f>SUM(D13:O13)</f>
        <v>156738727.24000001</v>
      </c>
    </row>
    <row r="14" spans="1:17" x14ac:dyDescent="0.25">
      <c r="A14" s="33" t="s">
        <v>3</v>
      </c>
      <c r="B14" s="28">
        <v>16002000</v>
      </c>
      <c r="C14" s="28">
        <v>15483545</v>
      </c>
      <c r="D14" s="28">
        <v>333500</v>
      </c>
      <c r="E14" s="28">
        <v>333500</v>
      </c>
      <c r="F14" s="28">
        <v>333500</v>
      </c>
      <c r="G14" s="28">
        <v>333500</v>
      </c>
      <c r="H14" s="28">
        <v>333500</v>
      </c>
      <c r="I14" s="28">
        <v>333500</v>
      </c>
      <c r="J14" s="28">
        <v>326500</v>
      </c>
      <c r="K14" s="28">
        <v>333500</v>
      </c>
      <c r="L14" s="28">
        <v>333500</v>
      </c>
      <c r="M14" s="28">
        <v>333500</v>
      </c>
      <c r="N14" s="28">
        <v>333500</v>
      </c>
      <c r="O14" s="28">
        <v>0</v>
      </c>
      <c r="P14" s="28">
        <f>SUM(D14:O14)</f>
        <v>3661500</v>
      </c>
    </row>
    <row r="15" spans="1:17" x14ac:dyDescent="0.25">
      <c r="A15" s="33" t="s">
        <v>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7"/>
    </row>
    <row r="16" spans="1:17" x14ac:dyDescent="0.25">
      <c r="A16" s="33" t="s">
        <v>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25">
      <c r="A17" s="33" t="s">
        <v>6</v>
      </c>
      <c r="B17" s="28">
        <v>12919266</v>
      </c>
      <c r="C17" s="28">
        <v>22216846.640000001</v>
      </c>
      <c r="D17" s="28">
        <v>1010410.9</v>
      </c>
      <c r="E17" s="28">
        <f>778532.3+789667.82+98106.61</f>
        <v>1666306.7300000002</v>
      </c>
      <c r="F17" s="28">
        <f>866043.72+886798.94+104174.14</f>
        <v>1857016.7999999998</v>
      </c>
      <c r="G17" s="28">
        <v>1762381.89</v>
      </c>
      <c r="H17" s="28">
        <v>1768791.53</v>
      </c>
      <c r="I17" s="28">
        <v>1755045.94</v>
      </c>
      <c r="J17" s="28">
        <f>833834.2+853940.49+102443.35</f>
        <v>1790218.04</v>
      </c>
      <c r="K17" s="28">
        <f>857046.38+877185.4+105780.67</f>
        <v>1840012.45</v>
      </c>
      <c r="L17" s="28">
        <f>858872.06+879013.65+105459.47</f>
        <v>1843345.18</v>
      </c>
      <c r="M17" s="28">
        <v>1847042.72</v>
      </c>
      <c r="N17" s="28">
        <f>816954.74+833824.46+101872.18</f>
        <v>1752651.38</v>
      </c>
      <c r="O17" s="28">
        <v>0</v>
      </c>
      <c r="P17" s="28">
        <f t="shared" ref="P17:P27" si="1">SUM(D17:O17)</f>
        <v>18893223.559999995</v>
      </c>
    </row>
    <row r="18" spans="1:16" x14ac:dyDescent="0.25">
      <c r="A18" s="55" t="s">
        <v>7</v>
      </c>
      <c r="B18" s="29">
        <f>B19+B20+B21+B22+B23+B24+B25+B26+B27</f>
        <v>157568266</v>
      </c>
      <c r="C18" s="29">
        <f>C19+C20+C21+C22+C23+C24+C25+C26+C27</f>
        <v>89260864.539999992</v>
      </c>
      <c r="D18" s="29">
        <f t="shared" ref="D18:O18" si="2">D19+D20+D21+D22+D23+D24+D25+D26</f>
        <v>2041119.06</v>
      </c>
      <c r="E18" s="29">
        <f>E19+E20+E21+E22+E23+E24+E25+E26</f>
        <v>4191962.75</v>
      </c>
      <c r="F18" s="29">
        <f t="shared" si="2"/>
        <v>2944059.5700000003</v>
      </c>
      <c r="G18" s="29">
        <f t="shared" si="2"/>
        <v>4926319.68</v>
      </c>
      <c r="H18" s="29">
        <f t="shared" si="2"/>
        <v>8370800.0499999998</v>
      </c>
      <c r="I18" s="29">
        <f t="shared" si="2"/>
        <v>4676862.4400000004</v>
      </c>
      <c r="J18" s="29">
        <f>J19+J20+J21+J22+J23+J24+J25+J26+J27</f>
        <v>12521024.200000001</v>
      </c>
      <c r="K18" s="29">
        <f>K19+K20+K21+K22+K23+K24+K25+K26+K27</f>
        <v>5482952.0300000003</v>
      </c>
      <c r="L18" s="29">
        <f t="shared" si="2"/>
        <v>4785180.54</v>
      </c>
      <c r="M18" s="29">
        <f t="shared" si="2"/>
        <v>7870666.4099999992</v>
      </c>
      <c r="N18" s="29">
        <f t="shared" si="2"/>
        <v>8889384.7799999993</v>
      </c>
      <c r="O18" s="29">
        <f t="shared" si="2"/>
        <v>0</v>
      </c>
      <c r="P18" s="29">
        <f t="shared" si="1"/>
        <v>66700331.509999998</v>
      </c>
    </row>
    <row r="19" spans="1:16" x14ac:dyDescent="0.25">
      <c r="A19" s="33" t="s">
        <v>8</v>
      </c>
      <c r="B19" s="28">
        <v>22370000</v>
      </c>
      <c r="C19" s="28">
        <v>27918180</v>
      </c>
      <c r="D19" s="28">
        <v>2041119.06</v>
      </c>
      <c r="E19" s="28">
        <f>477608.77+399421.17+1754566.25+485060.35</f>
        <v>3116656.54</v>
      </c>
      <c r="F19" s="28">
        <f>383209.77+221864.07+794511.97+492147.91</f>
        <v>1891733.72</v>
      </c>
      <c r="G19" s="28">
        <v>1888613.25</v>
      </c>
      <c r="H19" s="28">
        <v>2315450.12</v>
      </c>
      <c r="I19" s="28">
        <v>2650989.4300000002</v>
      </c>
      <c r="J19" s="28">
        <v>2786366.52</v>
      </c>
      <c r="K19" s="28">
        <f>677870.51+268414.24+875254.13+665876.37</f>
        <v>2487415.25</v>
      </c>
      <c r="L19" s="28">
        <f>504125.14+217243.69+866618.52+650734.82</f>
        <v>2238722.17</v>
      </c>
      <c r="M19" s="28">
        <v>1885836.9</v>
      </c>
      <c r="N19" s="28">
        <f>532201.4+229893.03+943057.78+1286417.18</f>
        <v>2991569.3899999997</v>
      </c>
      <c r="O19" s="28">
        <v>0</v>
      </c>
      <c r="P19" s="28">
        <f t="shared" si="1"/>
        <v>26294472.350000001</v>
      </c>
    </row>
    <row r="20" spans="1:16" x14ac:dyDescent="0.25">
      <c r="A20" s="33" t="s">
        <v>9</v>
      </c>
      <c r="B20" s="28">
        <v>1100000</v>
      </c>
      <c r="C20" s="28">
        <v>850000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226114</v>
      </c>
      <c r="K20" s="28">
        <v>0</v>
      </c>
      <c r="L20" s="28">
        <v>0</v>
      </c>
      <c r="M20" s="28">
        <v>18277.740000000002</v>
      </c>
      <c r="N20" s="28">
        <v>0</v>
      </c>
      <c r="O20" s="28">
        <v>0</v>
      </c>
      <c r="P20" s="28">
        <f t="shared" si="1"/>
        <v>244391.74</v>
      </c>
    </row>
    <row r="21" spans="1:16" x14ac:dyDescent="0.25">
      <c r="A21" s="33" t="s">
        <v>10</v>
      </c>
      <c r="B21" s="28">
        <v>4200000</v>
      </c>
      <c r="C21" s="28">
        <v>8977635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2470380</v>
      </c>
      <c r="K21" s="28">
        <v>0</v>
      </c>
      <c r="L21" s="28">
        <v>0</v>
      </c>
      <c r="M21" s="28">
        <v>2887185</v>
      </c>
      <c r="N21" s="28">
        <v>1191200</v>
      </c>
      <c r="O21" s="28">
        <v>0</v>
      </c>
      <c r="P21" s="28">
        <f t="shared" si="1"/>
        <v>6548765</v>
      </c>
    </row>
    <row r="22" spans="1:16" x14ac:dyDescent="0.25">
      <c r="A22" s="33" t="s">
        <v>11</v>
      </c>
      <c r="B22" s="28">
        <v>2720000</v>
      </c>
      <c r="C22" s="28">
        <v>1941430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489184.37</v>
      </c>
      <c r="K22" s="28">
        <v>0</v>
      </c>
      <c r="L22" s="28">
        <v>0</v>
      </c>
      <c r="M22" s="28">
        <v>59613.74</v>
      </c>
      <c r="N22" s="28">
        <v>0</v>
      </c>
      <c r="O22" s="28">
        <v>0</v>
      </c>
      <c r="P22" s="28">
        <f t="shared" si="1"/>
        <v>548798.11</v>
      </c>
    </row>
    <row r="23" spans="1:16" x14ac:dyDescent="0.25">
      <c r="A23" s="33" t="s">
        <v>12</v>
      </c>
      <c r="B23" s="28">
        <v>14053244</v>
      </c>
      <c r="C23" s="28">
        <v>19190679.739999998</v>
      </c>
      <c r="D23" s="28">
        <v>0</v>
      </c>
      <c r="E23" s="28">
        <v>0</v>
      </c>
      <c r="F23" s="28">
        <v>0</v>
      </c>
      <c r="G23" s="28">
        <v>0</v>
      </c>
      <c r="H23" s="28">
        <v>5022189.21</v>
      </c>
      <c r="I23" s="28">
        <v>1004437.84</v>
      </c>
      <c r="J23" s="28">
        <v>1402242.28</v>
      </c>
      <c r="K23" s="28">
        <v>1670639.44</v>
      </c>
      <c r="L23" s="28">
        <v>1799166.94</v>
      </c>
      <c r="M23" s="28">
        <v>1453475.65</v>
      </c>
      <c r="N23" s="28">
        <f>1722071.4+70623</f>
        <v>1792694.4</v>
      </c>
      <c r="O23" s="28">
        <v>0</v>
      </c>
      <c r="P23" s="28">
        <f t="shared" si="1"/>
        <v>14144845.76</v>
      </c>
    </row>
    <row r="24" spans="1:16" x14ac:dyDescent="0.25">
      <c r="A24" s="33" t="s">
        <v>13</v>
      </c>
      <c r="B24" s="28">
        <v>4900000</v>
      </c>
      <c r="C24" s="28">
        <v>12418274.68</v>
      </c>
      <c r="D24" s="28">
        <v>0</v>
      </c>
      <c r="E24" s="28">
        <v>1075306.21</v>
      </c>
      <c r="F24" s="28">
        <v>1052325.8500000001</v>
      </c>
      <c r="G24" s="28">
        <v>1337706.43</v>
      </c>
      <c r="H24" s="28">
        <v>1033160.72</v>
      </c>
      <c r="I24" s="28">
        <v>1021435.17</v>
      </c>
      <c r="J24" s="28">
        <v>1400717.15</v>
      </c>
      <c r="K24" s="28">
        <v>1324897.3400000001</v>
      </c>
      <c r="L24" s="28">
        <v>747291.43</v>
      </c>
      <c r="M24" s="28">
        <v>1039557.02</v>
      </c>
      <c r="N24" s="28">
        <v>1101787.6599999999</v>
      </c>
      <c r="O24" s="28">
        <v>0</v>
      </c>
      <c r="P24" s="28">
        <f t="shared" si="1"/>
        <v>11134184.979999999</v>
      </c>
    </row>
    <row r="25" spans="1:16" ht="30" x14ac:dyDescent="0.25">
      <c r="A25" s="33" t="s">
        <v>14</v>
      </c>
      <c r="B25" s="28">
        <v>5400000</v>
      </c>
      <c r="C25" s="28">
        <v>4753190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1887334.14</v>
      </c>
      <c r="K25" s="28">
        <v>0</v>
      </c>
      <c r="L25" s="28">
        <v>0</v>
      </c>
      <c r="M25" s="28">
        <v>74085.66</v>
      </c>
      <c r="N25" s="28">
        <f>64900+1747233.33</f>
        <v>1812133.33</v>
      </c>
      <c r="O25" s="28">
        <v>0</v>
      </c>
      <c r="P25" s="28">
        <f t="shared" si="1"/>
        <v>3773553.13</v>
      </c>
    </row>
    <row r="26" spans="1:16" ht="30" x14ac:dyDescent="0.25">
      <c r="A26" s="33" t="s">
        <v>15</v>
      </c>
      <c r="B26" s="28">
        <v>100625022</v>
      </c>
      <c r="C26" s="28">
        <v>10911475.119999999</v>
      </c>
      <c r="D26" s="28">
        <v>0</v>
      </c>
      <c r="E26" s="28">
        <v>0</v>
      </c>
      <c r="F26" s="28">
        <v>0</v>
      </c>
      <c r="G26" s="28">
        <v>1700000</v>
      </c>
      <c r="H26" s="28">
        <v>0</v>
      </c>
      <c r="I26" s="28">
        <v>0</v>
      </c>
      <c r="J26" s="28">
        <v>1072051.6200000001</v>
      </c>
      <c r="K26" s="28">
        <v>0</v>
      </c>
      <c r="L26" s="28">
        <v>0</v>
      </c>
      <c r="M26" s="28">
        <v>452634.7</v>
      </c>
      <c r="N26" s="28">
        <v>0</v>
      </c>
      <c r="O26" s="28">
        <v>0</v>
      </c>
      <c r="P26" s="28">
        <f t="shared" si="1"/>
        <v>3224686.3200000003</v>
      </c>
    </row>
    <row r="27" spans="1:16" x14ac:dyDescent="0.25">
      <c r="A27" s="33" t="s">
        <v>16</v>
      </c>
      <c r="B27" s="28">
        <v>2200000</v>
      </c>
      <c r="C27" s="28">
        <v>2300000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786634.12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 t="shared" si="1"/>
        <v>786634.12</v>
      </c>
    </row>
    <row r="28" spans="1:16" x14ac:dyDescent="0.25">
      <c r="A28" s="55" t="s">
        <v>17</v>
      </c>
      <c r="B28" s="29">
        <f>B29+B30+B31+B32+B33+B34+B35+B37</f>
        <v>15857000</v>
      </c>
      <c r="C28" s="29">
        <f>C29+C30+C31+C32+C33+C34+C35+C37</f>
        <v>14969339</v>
      </c>
      <c r="D28" s="29">
        <f t="shared" ref="D28:P28" si="3">D29+D30+D31+D32+D33+D34+D35+D37</f>
        <v>479407</v>
      </c>
      <c r="E28" s="29">
        <f t="shared" si="3"/>
        <v>557408</v>
      </c>
      <c r="F28" s="29">
        <f t="shared" si="3"/>
        <v>0</v>
      </c>
      <c r="G28" s="29">
        <f t="shared" si="3"/>
        <v>57087.61</v>
      </c>
      <c r="H28" s="29">
        <f t="shared" si="3"/>
        <v>0</v>
      </c>
      <c r="I28" s="29">
        <f t="shared" si="3"/>
        <v>0</v>
      </c>
      <c r="J28" s="29">
        <f t="shared" si="3"/>
        <v>4917463.04</v>
      </c>
      <c r="K28" s="29">
        <f t="shared" si="3"/>
        <v>0</v>
      </c>
      <c r="L28" s="29">
        <f t="shared" si="3"/>
        <v>0</v>
      </c>
      <c r="M28" s="29">
        <f t="shared" si="3"/>
        <v>2630165.67</v>
      </c>
      <c r="N28" s="29">
        <f t="shared" si="3"/>
        <v>450000</v>
      </c>
      <c r="O28" s="29">
        <f t="shared" si="3"/>
        <v>0</v>
      </c>
      <c r="P28" s="29">
        <f t="shared" si="3"/>
        <v>9091531.3200000003</v>
      </c>
    </row>
    <row r="29" spans="1:16" x14ac:dyDescent="0.25">
      <c r="A29" s="33" t="s">
        <v>18</v>
      </c>
      <c r="B29" s="28">
        <v>800000</v>
      </c>
      <c r="C29" s="28">
        <v>857968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365879.9</v>
      </c>
      <c r="K29" s="28">
        <v>0</v>
      </c>
      <c r="L29" s="28">
        <v>0</v>
      </c>
      <c r="M29" s="28">
        <v>224331.34</v>
      </c>
      <c r="N29" s="28">
        <v>0</v>
      </c>
      <c r="O29" s="28">
        <v>0</v>
      </c>
      <c r="P29" s="28">
        <f t="shared" ref="P29:P36" si="4">SUM(D29:O29)</f>
        <v>590211.24</v>
      </c>
    </row>
    <row r="30" spans="1:16" x14ac:dyDescent="0.25">
      <c r="A30" s="33" t="s">
        <v>19</v>
      </c>
      <c r="B30" s="28">
        <v>900000</v>
      </c>
      <c r="C30" s="28">
        <v>451500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649</v>
      </c>
      <c r="N30" s="28">
        <v>0</v>
      </c>
      <c r="O30" s="28">
        <v>0</v>
      </c>
      <c r="P30" s="28">
        <f t="shared" si="4"/>
        <v>649</v>
      </c>
    </row>
    <row r="31" spans="1:16" x14ac:dyDescent="0.25">
      <c r="A31" s="33" t="s">
        <v>20</v>
      </c>
      <c r="B31" s="28">
        <v>925000</v>
      </c>
      <c r="C31" s="28">
        <v>980689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619417.93999999994</v>
      </c>
      <c r="K31" s="28">
        <v>0</v>
      </c>
      <c r="L31" s="28">
        <v>0</v>
      </c>
      <c r="M31" s="28">
        <v>202080.45</v>
      </c>
      <c r="N31" s="28">
        <v>0</v>
      </c>
      <c r="O31" s="28">
        <v>0</v>
      </c>
      <c r="P31" s="28">
        <f t="shared" si="4"/>
        <v>821498.3899999999</v>
      </c>
    </row>
    <row r="32" spans="1:16" x14ac:dyDescent="0.25">
      <c r="A32" s="33" t="s">
        <v>21</v>
      </c>
      <c r="B32" s="28">
        <v>420000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 t="shared" si="4"/>
        <v>0</v>
      </c>
    </row>
    <row r="33" spans="1:16" x14ac:dyDescent="0.25">
      <c r="A33" s="33" t="s">
        <v>22</v>
      </c>
      <c r="B33" s="28">
        <v>1400000</v>
      </c>
      <c r="C33" s="28">
        <v>778210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f>111583.69+1194.51+49548.74</f>
        <v>162326.94</v>
      </c>
      <c r="K33" s="28">
        <v>0</v>
      </c>
      <c r="L33" s="28">
        <v>0</v>
      </c>
      <c r="M33" s="28">
        <v>3606.73</v>
      </c>
      <c r="N33" s="28">
        <v>0</v>
      </c>
      <c r="O33" s="28">
        <v>0</v>
      </c>
      <c r="P33" s="28">
        <f t="shared" si="4"/>
        <v>165933.67000000001</v>
      </c>
    </row>
    <row r="34" spans="1:16" x14ac:dyDescent="0.25">
      <c r="A34" s="33" t="s">
        <v>23</v>
      </c>
      <c r="B34" s="28">
        <v>342000</v>
      </c>
      <c r="C34" s="28">
        <v>233196</v>
      </c>
      <c r="D34" s="28">
        <v>0</v>
      </c>
      <c r="E34" s="28">
        <v>0</v>
      </c>
      <c r="F34" s="28">
        <v>0</v>
      </c>
      <c r="G34" s="28">
        <v>52122.96</v>
      </c>
      <c r="H34" s="28">
        <v>0</v>
      </c>
      <c r="I34" s="28">
        <v>0</v>
      </c>
      <c r="J34" s="28">
        <f>3365+2832.7+455+27367.4+11207.94</f>
        <v>45228.04</v>
      </c>
      <c r="K34" s="28">
        <v>0</v>
      </c>
      <c r="L34" s="28">
        <v>0</v>
      </c>
      <c r="M34" s="28">
        <v>11585.29</v>
      </c>
      <c r="N34" s="28">
        <v>0</v>
      </c>
      <c r="O34" s="28">
        <v>0</v>
      </c>
      <c r="P34" s="28">
        <f t="shared" si="4"/>
        <v>108936.29000000001</v>
      </c>
    </row>
    <row r="35" spans="1:16" ht="30" x14ac:dyDescent="0.25">
      <c r="A35" s="33" t="s">
        <v>24</v>
      </c>
      <c r="B35" s="28">
        <v>6350000</v>
      </c>
      <c r="C35" s="28">
        <v>8803547</v>
      </c>
      <c r="D35" s="28">
        <v>479407</v>
      </c>
      <c r="E35" s="28">
        <v>557408</v>
      </c>
      <c r="F35" s="28">
        <v>0</v>
      </c>
      <c r="G35" s="28">
        <v>0</v>
      </c>
      <c r="H35" s="28">
        <v>0</v>
      </c>
      <c r="I35" s="28">
        <v>0</v>
      </c>
      <c r="J35" s="28">
        <f>2801529.74+5625+3000+1562+1208.6+735+63871.3+225</f>
        <v>2877756.64</v>
      </c>
      <c r="K35" s="28">
        <v>0</v>
      </c>
      <c r="L35" s="28">
        <v>0</v>
      </c>
      <c r="M35" s="28">
        <v>2013128.58</v>
      </c>
      <c r="N35" s="28">
        <v>450000</v>
      </c>
      <c r="O35" s="28">
        <v>0</v>
      </c>
      <c r="P35" s="28">
        <f t="shared" si="4"/>
        <v>6377700.2200000007</v>
      </c>
    </row>
    <row r="36" spans="1:16" ht="30" x14ac:dyDescent="0.25">
      <c r="A36" s="33" t="s">
        <v>25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f t="shared" si="4"/>
        <v>0</v>
      </c>
    </row>
    <row r="37" spans="1:16" x14ac:dyDescent="0.25">
      <c r="A37" s="33" t="s">
        <v>26</v>
      </c>
      <c r="B37" s="28">
        <v>4720000</v>
      </c>
      <c r="C37" s="28">
        <v>2864229</v>
      </c>
      <c r="D37" s="28">
        <v>0</v>
      </c>
      <c r="E37" s="28">
        <v>0</v>
      </c>
      <c r="F37" s="28">
        <v>0</v>
      </c>
      <c r="G37" s="28">
        <v>4964.6499999999996</v>
      </c>
      <c r="H37" s="28">
        <v>0</v>
      </c>
      <c r="I37" s="28">
        <v>0</v>
      </c>
      <c r="J37" s="28">
        <f>151693.57+201129.29+14375.96+58037.35+344296.91+56611.98+13522.35+4307+2879.17</f>
        <v>846853.58</v>
      </c>
      <c r="K37" s="28">
        <v>0</v>
      </c>
      <c r="L37" s="28">
        <v>0</v>
      </c>
      <c r="M37" s="28">
        <v>174784.28</v>
      </c>
      <c r="N37" s="28">
        <v>0</v>
      </c>
      <c r="O37" s="28">
        <v>0</v>
      </c>
      <c r="P37" s="28">
        <f>SUM(D37:O37)</f>
        <v>1026602.51</v>
      </c>
    </row>
    <row r="38" spans="1:16" x14ac:dyDescent="0.25">
      <c r="A38" s="55" t="s">
        <v>27</v>
      </c>
      <c r="B38" s="29">
        <f>B39</f>
        <v>400000</v>
      </c>
      <c r="C38" s="29">
        <f>C39</f>
        <v>0</v>
      </c>
      <c r="D38" s="29">
        <f t="shared" ref="D38:P38" si="5">D39</f>
        <v>0</v>
      </c>
      <c r="E38" s="29">
        <f t="shared" si="5"/>
        <v>0</v>
      </c>
      <c r="F38" s="29">
        <f t="shared" si="5"/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</row>
    <row r="39" spans="1:16" x14ac:dyDescent="0.25">
      <c r="A39" s="33" t="s">
        <v>28</v>
      </c>
      <c r="B39" s="28">
        <v>400000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</row>
    <row r="40" spans="1:16" ht="30" x14ac:dyDescent="0.25">
      <c r="A40" s="33" t="s">
        <v>29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</row>
    <row r="41" spans="1:16" ht="30" x14ac:dyDescent="0.25">
      <c r="A41" s="33" t="s">
        <v>30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</row>
    <row r="42" spans="1:16" ht="30" x14ac:dyDescent="0.25">
      <c r="A42" s="33" t="s">
        <v>31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</row>
    <row r="43" spans="1:16" ht="30" x14ac:dyDescent="0.25">
      <c r="A43" s="33" t="s">
        <v>32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</row>
    <row r="44" spans="1:16" x14ac:dyDescent="0.25">
      <c r="A44" s="33" t="s">
        <v>33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</row>
    <row r="45" spans="1:16" x14ac:dyDescent="0.25">
      <c r="A45" s="33" t="s">
        <v>34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</row>
    <row r="46" spans="1:16" ht="30" x14ac:dyDescent="0.25">
      <c r="A46" s="33" t="s">
        <v>35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</row>
    <row r="47" spans="1:16" x14ac:dyDescent="0.25">
      <c r="A47" s="55" t="s">
        <v>36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33" t="s">
        <v>37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</row>
    <row r="49" spans="1:16" ht="30" x14ac:dyDescent="0.25">
      <c r="A49" s="33" t="s">
        <v>38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</row>
    <row r="50" spans="1:16" ht="30" x14ac:dyDescent="0.25">
      <c r="A50" s="33" t="s">
        <v>39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</row>
    <row r="51" spans="1:16" ht="30" x14ac:dyDescent="0.25">
      <c r="A51" s="33" t="s">
        <v>40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</row>
    <row r="52" spans="1:16" x14ac:dyDescent="0.25">
      <c r="A52" s="33" t="s">
        <v>41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</row>
    <row r="53" spans="1:16" ht="30" x14ac:dyDescent="0.25">
      <c r="A53" s="33" t="s">
        <v>42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</row>
    <row r="54" spans="1:16" x14ac:dyDescent="0.25">
      <c r="A54" s="55" t="s">
        <v>43</v>
      </c>
      <c r="B54" s="29">
        <f>B55+B58+B59</f>
        <v>6100000</v>
      </c>
      <c r="C54" s="29">
        <f>C55+C58+C59+C56</f>
        <v>4350000</v>
      </c>
      <c r="D54" s="29">
        <f>D55+D58+D59</f>
        <v>0</v>
      </c>
      <c r="E54" s="29">
        <f>E55+E58+E59</f>
        <v>110353.60000000001</v>
      </c>
      <c r="F54" s="29">
        <f>F55+F58+F59</f>
        <v>1055978.04</v>
      </c>
      <c r="G54" s="29">
        <f>G55+G58+G59</f>
        <v>48385.61</v>
      </c>
      <c r="H54" s="29">
        <f>H56</f>
        <v>0</v>
      </c>
      <c r="I54" s="29">
        <f t="shared" ref="I54:N54" si="6">I55+I58+I59</f>
        <v>0</v>
      </c>
      <c r="J54" s="29">
        <f t="shared" si="6"/>
        <v>84290.02</v>
      </c>
      <c r="K54" s="29">
        <f t="shared" si="6"/>
        <v>31258.2</v>
      </c>
      <c r="L54" s="29">
        <f t="shared" si="6"/>
        <v>296715.55</v>
      </c>
      <c r="M54" s="29">
        <f t="shared" si="6"/>
        <v>193914.53</v>
      </c>
      <c r="N54" s="29">
        <f t="shared" si="6"/>
        <v>111020.3</v>
      </c>
      <c r="O54" s="29">
        <f>O55+O58+O59+O56</f>
        <v>0</v>
      </c>
      <c r="P54" s="29">
        <f>SUM(D54:O54)</f>
        <v>1931915.8500000003</v>
      </c>
    </row>
    <row r="55" spans="1:16" x14ac:dyDescent="0.25">
      <c r="A55" s="33" t="s">
        <v>44</v>
      </c>
      <c r="B55" s="28">
        <v>2500000</v>
      </c>
      <c r="C55" s="28">
        <v>3076500</v>
      </c>
      <c r="D55" s="28">
        <v>0</v>
      </c>
      <c r="E55" s="28">
        <v>110353.60000000001</v>
      </c>
      <c r="F55" s="28">
        <v>1055978.04</v>
      </c>
      <c r="G55" s="28">
        <v>0</v>
      </c>
      <c r="H55" s="28">
        <v>0</v>
      </c>
      <c r="I55" s="28">
        <v>0</v>
      </c>
      <c r="J55" s="28">
        <v>0</v>
      </c>
      <c r="K55" s="28">
        <v>31258.2</v>
      </c>
      <c r="L55" s="28">
        <v>296715.55</v>
      </c>
      <c r="M55" s="28">
        <v>193914.53</v>
      </c>
      <c r="N55" s="28">
        <v>111020.3</v>
      </c>
      <c r="O55" s="28">
        <v>0</v>
      </c>
      <c r="P55" s="28">
        <f>SUM(D55:O55)</f>
        <v>1799240.2200000002</v>
      </c>
    </row>
    <row r="56" spans="1:16" ht="30" x14ac:dyDescent="0.25">
      <c r="A56" s="33" t="s">
        <v>45</v>
      </c>
      <c r="B56" s="28">
        <v>0</v>
      </c>
      <c r="C56" s="28">
        <v>295000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f>SUM(D56:O56)</f>
        <v>0</v>
      </c>
    </row>
    <row r="57" spans="1:16" x14ac:dyDescent="0.25">
      <c r="A57" s="33" t="s">
        <v>46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f t="shared" ref="P57:P59" si="7">SUM(D57:O57)</f>
        <v>0</v>
      </c>
    </row>
    <row r="58" spans="1:16" ht="30" x14ac:dyDescent="0.25">
      <c r="A58" s="33" t="s">
        <v>47</v>
      </c>
      <c r="B58" s="28">
        <v>3500000</v>
      </c>
      <c r="C58" s="28">
        <v>513200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f t="shared" si="7"/>
        <v>0</v>
      </c>
    </row>
    <row r="59" spans="1:16" x14ac:dyDescent="0.25">
      <c r="A59" s="33" t="s">
        <v>48</v>
      </c>
      <c r="B59" s="28">
        <v>100000</v>
      </c>
      <c r="C59" s="28">
        <v>465300</v>
      </c>
      <c r="D59" s="28">
        <v>0</v>
      </c>
      <c r="E59" s="28">
        <v>0</v>
      </c>
      <c r="F59" s="28">
        <v>0</v>
      </c>
      <c r="G59" s="28">
        <v>48385.61</v>
      </c>
      <c r="H59" s="28">
        <v>0</v>
      </c>
      <c r="I59" s="28">
        <v>0</v>
      </c>
      <c r="J59" s="28">
        <v>84290.02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f t="shared" si="7"/>
        <v>132675.63</v>
      </c>
    </row>
    <row r="60" spans="1:16" x14ac:dyDescent="0.25">
      <c r="A60" s="33" t="s">
        <v>49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</row>
    <row r="61" spans="1:16" x14ac:dyDescent="0.25">
      <c r="A61" s="33" t="s">
        <v>50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</row>
    <row r="62" spans="1:16" x14ac:dyDescent="0.25">
      <c r="A62" s="33" t="s">
        <v>51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</row>
    <row r="63" spans="1:16" ht="30" x14ac:dyDescent="0.25">
      <c r="A63" s="33" t="s">
        <v>52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</row>
    <row r="64" spans="1:16" x14ac:dyDescent="0.25">
      <c r="A64" s="55" t="s">
        <v>53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x14ac:dyDescent="0.25">
      <c r="A65" s="33" t="s">
        <v>54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</row>
    <row r="66" spans="1:16" x14ac:dyDescent="0.25">
      <c r="A66" s="33" t="s">
        <v>55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</row>
    <row r="67" spans="1:16" x14ac:dyDescent="0.25">
      <c r="A67" s="33" t="s">
        <v>56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</row>
    <row r="68" spans="1:16" ht="30" x14ac:dyDescent="0.25">
      <c r="A68" s="33" t="s">
        <v>57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</row>
    <row r="69" spans="1:16" ht="30" x14ac:dyDescent="0.25">
      <c r="A69" s="55" t="s">
        <v>58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x14ac:dyDescent="0.25">
      <c r="A70" s="33" t="s">
        <v>59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</row>
    <row r="71" spans="1:16" ht="30" x14ac:dyDescent="0.25">
      <c r="A71" s="33" t="s">
        <v>60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</row>
    <row r="72" spans="1:16" x14ac:dyDescent="0.25">
      <c r="A72" s="55" t="s">
        <v>61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x14ac:dyDescent="0.25">
      <c r="A73" s="33" t="s">
        <v>62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</row>
    <row r="74" spans="1:16" x14ac:dyDescent="0.25">
      <c r="A74" s="33" t="s">
        <v>63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30" x14ac:dyDescent="0.25">
      <c r="A75" s="33" t="s">
        <v>64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</row>
    <row r="76" spans="1:16" x14ac:dyDescent="0.25">
      <c r="A76" s="56" t="s">
        <v>67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25">
      <c r="A77" s="55" t="s">
        <v>68</v>
      </c>
      <c r="B77" s="29"/>
      <c r="C77" s="2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x14ac:dyDescent="0.25">
      <c r="A78" s="33" t="s">
        <v>69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 x14ac:dyDescent="0.25">
      <c r="A79" s="33" t="s">
        <v>70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</row>
    <row r="80" spans="1:16" x14ac:dyDescent="0.25">
      <c r="A80" s="55" t="s">
        <v>71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16" x14ac:dyDescent="0.25">
      <c r="A81" s="33" t="s">
        <v>72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 x14ac:dyDescent="0.25">
      <c r="A82" s="33" t="s">
        <v>73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x14ac:dyDescent="0.25">
      <c r="A83" s="55" t="s">
        <v>74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</row>
    <row r="84" spans="1:16" x14ac:dyDescent="0.25">
      <c r="A84" s="33" t="s">
        <v>75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 x14ac:dyDescent="0.25">
      <c r="A85" s="9" t="s">
        <v>65</v>
      </c>
      <c r="B85" s="32">
        <f>B54+B38+B28+B18+B12</f>
        <v>302146892</v>
      </c>
      <c r="C85" s="32">
        <f>C54+C38+C28+C18+C12</f>
        <v>309546892</v>
      </c>
      <c r="D85" s="32">
        <f t="shared" ref="D85:P85" si="8">D54+D38+D28+D18+D12</f>
        <v>12839120.190000001</v>
      </c>
      <c r="E85" s="32">
        <f t="shared" si="8"/>
        <v>17981613.310000002</v>
      </c>
      <c r="F85" s="32">
        <f t="shared" si="8"/>
        <v>20495615.039999999</v>
      </c>
      <c r="G85" s="32">
        <f t="shared" si="8"/>
        <v>19897738.960000001</v>
      </c>
      <c r="H85" s="32">
        <f t="shared" si="8"/>
        <v>22696219.619999997</v>
      </c>
      <c r="I85" s="32">
        <f t="shared" si="8"/>
        <v>19111516.260000002</v>
      </c>
      <c r="J85" s="32">
        <f t="shared" si="8"/>
        <v>31783753.470000003</v>
      </c>
      <c r="K85" s="32">
        <f t="shared" si="8"/>
        <v>20042446.799999997</v>
      </c>
      <c r="L85" s="32">
        <f t="shared" si="8"/>
        <v>19654690.93</v>
      </c>
      <c r="M85" s="32">
        <f t="shared" si="8"/>
        <v>37558637.189999998</v>
      </c>
      <c r="N85" s="32">
        <f t="shared" si="8"/>
        <v>34955877.710000001</v>
      </c>
      <c r="O85" s="32">
        <f t="shared" si="8"/>
        <v>0</v>
      </c>
      <c r="P85" s="32">
        <f t="shared" si="8"/>
        <v>257017229.48000002</v>
      </c>
    </row>
    <row r="91" spans="1:16" ht="13.5" customHeight="1" x14ac:dyDescent="0.3">
      <c r="A91" s="35"/>
      <c r="B91" s="34"/>
      <c r="C91" s="34"/>
      <c r="D91" s="34"/>
      <c r="E91" s="35"/>
      <c r="F91" s="36"/>
      <c r="H91" s="37"/>
      <c r="I91" s="34"/>
    </row>
    <row r="92" spans="1:16" ht="36" customHeight="1" x14ac:dyDescent="0.25"/>
    <row r="93" spans="1:16" ht="18.75" x14ac:dyDescent="0.3">
      <c r="A93" s="35"/>
      <c r="B93" s="35" t="s">
        <v>102</v>
      </c>
      <c r="C93" s="34"/>
      <c r="D93" s="34"/>
      <c r="E93" s="34"/>
      <c r="F93" s="35" t="s">
        <v>103</v>
      </c>
      <c r="H93" s="36"/>
      <c r="J93" s="37"/>
      <c r="K93" s="34"/>
    </row>
    <row r="94" spans="1:16" ht="18.75" x14ac:dyDescent="0.3">
      <c r="A94" s="38"/>
      <c r="B94" s="38" t="s">
        <v>104</v>
      </c>
      <c r="C94" s="36"/>
      <c r="D94" s="34"/>
      <c r="E94" s="34"/>
      <c r="F94" s="38" t="s">
        <v>104</v>
      </c>
      <c r="H94" s="38"/>
      <c r="I94" s="34"/>
      <c r="J94" s="34"/>
      <c r="K94" s="34"/>
    </row>
    <row r="95" spans="1:16" ht="18.75" x14ac:dyDescent="0.3">
      <c r="A95" s="36"/>
      <c r="B95" s="36" t="s">
        <v>105</v>
      </c>
      <c r="C95" s="36"/>
      <c r="D95" s="34"/>
      <c r="E95" s="34"/>
      <c r="F95" s="36" t="s">
        <v>106</v>
      </c>
      <c r="H95" s="36"/>
      <c r="I95" s="34"/>
      <c r="J95" s="34"/>
      <c r="K95" s="34"/>
    </row>
    <row r="96" spans="1:16" ht="18.75" x14ac:dyDescent="0.3">
      <c r="A96" s="36"/>
      <c r="B96" s="36" t="s">
        <v>107</v>
      </c>
      <c r="C96" s="36"/>
      <c r="D96" s="34"/>
      <c r="E96" s="34"/>
      <c r="F96" s="36" t="s">
        <v>108</v>
      </c>
      <c r="H96" s="36"/>
      <c r="I96" s="34"/>
      <c r="J96" s="34"/>
      <c r="K96" s="34"/>
    </row>
    <row r="97" spans="2:11" ht="18.75" x14ac:dyDescent="0.3">
      <c r="D97" s="34"/>
      <c r="E97" s="34"/>
      <c r="F97" s="34"/>
      <c r="H97" s="34"/>
      <c r="I97" s="34"/>
      <c r="J97" s="34"/>
      <c r="K97" s="34"/>
    </row>
    <row r="98" spans="2:11" ht="18.75" x14ac:dyDescent="0.25">
      <c r="B98" s="36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" right="0" top="0.19685039370078741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zoomScaleNormal="100" workbookViewId="0">
      <selection activeCell="L83" sqref="L83"/>
    </sheetView>
  </sheetViews>
  <sheetFormatPr defaultColWidth="11.42578125" defaultRowHeight="15" x14ac:dyDescent="0.25"/>
  <cols>
    <col min="1" max="1" width="72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14260976.210000001</v>
      </c>
      <c r="I10" s="29">
        <f>I11+I12+I15</f>
        <v>14528236.569999998</v>
      </c>
      <c r="J10" s="29">
        <f t="shared" si="0"/>
        <v>14572794.84</v>
      </c>
      <c r="K10" s="29">
        <f t="shared" si="0"/>
        <v>26863890.579999998</v>
      </c>
      <c r="L10" s="29">
        <f t="shared" si="0"/>
        <v>25505472.629999999</v>
      </c>
      <c r="M10" s="29">
        <f t="shared" si="0"/>
        <v>0</v>
      </c>
      <c r="N10" s="29">
        <f>SUM(B10:M10)</f>
        <v>179293450.80000001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12144258.17</v>
      </c>
      <c r="I11" s="28">
        <v>12354724.119999999</v>
      </c>
      <c r="J11" s="28">
        <v>12395949.66</v>
      </c>
      <c r="K11" s="28">
        <v>24683347.859999999</v>
      </c>
      <c r="L11" s="28">
        <v>23419321.25</v>
      </c>
      <c r="M11" s="28">
        <v>0</v>
      </c>
      <c r="N11" s="28">
        <f>SUM(B11:M11)</f>
        <v>156738727.24000001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326500</v>
      </c>
      <c r="I12" s="28">
        <v>333500</v>
      </c>
      <c r="J12" s="28">
        <v>333500</v>
      </c>
      <c r="K12" s="28">
        <v>333500</v>
      </c>
      <c r="L12" s="28">
        <v>333500</v>
      </c>
      <c r="M12" s="28">
        <v>0</v>
      </c>
      <c r="N12" s="28">
        <f>SUM(B12:M12)</f>
        <v>3661500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1790218.04</v>
      </c>
      <c r="I15" s="28">
        <v>1840012.45</v>
      </c>
      <c r="J15" s="28">
        <v>1843345.18</v>
      </c>
      <c r="K15" s="28">
        <f>860815.91+880960.22+105266.59</f>
        <v>1847042.72</v>
      </c>
      <c r="L15" s="28">
        <v>1752651.38</v>
      </c>
      <c r="M15" s="28">
        <v>0</v>
      </c>
      <c r="N15" s="28">
        <f>SUM(B15:M15)</f>
        <v>18893223.559999995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>H17+H18+H19+H20+H21+H22+H23+H24+H25</f>
        <v>12521024.200000001</v>
      </c>
      <c r="I16" s="29">
        <f>I17+I18+I19+I20+I21+I22+I23+I24+I25</f>
        <v>5482952.0300000003</v>
      </c>
      <c r="J16" s="29">
        <f t="shared" si="1"/>
        <v>4785180.54</v>
      </c>
      <c r="K16" s="29">
        <f t="shared" si="1"/>
        <v>7870666.4100000011</v>
      </c>
      <c r="L16" s="29">
        <f>L17+L18+L19+L20+L21+L22+L23+L24</f>
        <v>8889384.7800000012</v>
      </c>
      <c r="M16" s="29">
        <f t="shared" si="1"/>
        <v>0</v>
      </c>
      <c r="N16" s="29">
        <f>N17+N18+N19+N20+N21+N22+N23+N24+N25</f>
        <v>66700331.50999999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2786366.52</v>
      </c>
      <c r="I17" s="28">
        <v>2487415.25</v>
      </c>
      <c r="J17" s="28">
        <v>2238722.17</v>
      </c>
      <c r="K17" s="28">
        <f>619588.84+242198.7+922726.27+89848.09+11475</f>
        <v>1885836.9000000001</v>
      </c>
      <c r="L17" s="28">
        <v>2991569.39</v>
      </c>
      <c r="M17" s="28">
        <v>0</v>
      </c>
      <c r="N17" s="28">
        <f>SUM(B17:M17)</f>
        <v>26294472.350000001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226114</v>
      </c>
      <c r="I18" s="28">
        <v>0</v>
      </c>
      <c r="J18" s="28">
        <v>0</v>
      </c>
      <c r="K18" s="28">
        <v>18277.740000000002</v>
      </c>
      <c r="L18" s="28">
        <v>0</v>
      </c>
      <c r="M18" s="28">
        <v>0</v>
      </c>
      <c r="N18" s="28">
        <f t="shared" ref="N18:N23" si="2">SUM(B18:M18)</f>
        <v>244391.74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2470380</v>
      </c>
      <c r="I19" s="28">
        <v>0</v>
      </c>
      <c r="J19" s="28">
        <v>0</v>
      </c>
      <c r="K19" s="28">
        <v>2887185</v>
      </c>
      <c r="L19" s="28">
        <v>1191200</v>
      </c>
      <c r="M19" s="28">
        <v>0</v>
      </c>
      <c r="N19" s="28">
        <f t="shared" si="2"/>
        <v>6548765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489184.37</v>
      </c>
      <c r="I20" s="28">
        <v>0</v>
      </c>
      <c r="J20" s="28">
        <v>0</v>
      </c>
      <c r="K20" s="28">
        <f>40312.87+14010.87+5290</f>
        <v>59613.740000000005</v>
      </c>
      <c r="L20" s="28">
        <v>0</v>
      </c>
      <c r="M20" s="28">
        <v>0</v>
      </c>
      <c r="N20" s="28">
        <f t="shared" si="2"/>
        <v>548798.11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1402242.28</v>
      </c>
      <c r="I21" s="28">
        <v>1670639.44</v>
      </c>
      <c r="J21" s="28">
        <v>1799166.94</v>
      </c>
      <c r="K21" s="28">
        <f>1447484.44+3428.58+2562.63</f>
        <v>1453475.65</v>
      </c>
      <c r="L21" s="28">
        <v>1792694.4</v>
      </c>
      <c r="M21" s="28">
        <v>0</v>
      </c>
      <c r="N21" s="28">
        <f t="shared" si="2"/>
        <v>14144845.76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1400717.15</v>
      </c>
      <c r="I22" s="28">
        <v>1324897.3400000001</v>
      </c>
      <c r="J22" s="28">
        <v>747291.43</v>
      </c>
      <c r="K22" s="28">
        <f>9977.5+1029579.52</f>
        <v>1039557.02</v>
      </c>
      <c r="L22" s="28">
        <v>1101787.6599999999</v>
      </c>
      <c r="M22" s="28">
        <v>0</v>
      </c>
      <c r="N22" s="28">
        <f t="shared" si="2"/>
        <v>11134184.979999999</v>
      </c>
    </row>
    <row r="23" spans="1:14" ht="27" customHeight="1" x14ac:dyDescent="0.25">
      <c r="A23" s="33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1887334.14</v>
      </c>
      <c r="I23" s="28">
        <v>0</v>
      </c>
      <c r="J23" s="28">
        <v>0</v>
      </c>
      <c r="K23" s="28">
        <f>163.5+8688.95+35514.21+29719</f>
        <v>74085.66</v>
      </c>
      <c r="L23" s="28">
        <v>0</v>
      </c>
      <c r="M23" s="28">
        <v>0</v>
      </c>
      <c r="N23" s="28">
        <f t="shared" si="2"/>
        <v>1961419.7999999998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1072051.6200000001</v>
      </c>
      <c r="I24" s="28">
        <v>0</v>
      </c>
      <c r="J24" s="28">
        <v>0</v>
      </c>
      <c r="K24" s="28">
        <f>8194.7+91800+250000+16500+86140</f>
        <v>452634.7</v>
      </c>
      <c r="L24" s="28">
        <v>1812133.33</v>
      </c>
      <c r="M24" s="28">
        <v>0</v>
      </c>
      <c r="N24" s="28">
        <f>SUM(B24:M24)</f>
        <v>5036819.6500000004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786634.12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786634.12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>D27+D28+D29+D30+D31+D32</f>
        <v>0</v>
      </c>
      <c r="E26" s="29">
        <f>E27+E28+E29+E30+E31+E32+E35</f>
        <v>57087.61</v>
      </c>
      <c r="F26" s="29">
        <f>F27+F28+F29+F30+F31+F32</f>
        <v>0</v>
      </c>
      <c r="G26" s="29">
        <f>G27+G28+G29+G30+G31+G32</f>
        <v>0</v>
      </c>
      <c r="H26" s="29">
        <f>H27+H28+H29+H30+H31+H32+H33+H35</f>
        <v>4917463.04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2630165.6699999995</v>
      </c>
      <c r="L26" s="29">
        <f>L27+L28+L29+L30+L31+L32+L33+L35</f>
        <v>450000</v>
      </c>
      <c r="M26" s="29">
        <f>M27+M28+M29+M30+M31+M32+M33+M35</f>
        <v>0</v>
      </c>
      <c r="N26" s="29">
        <f>N27+N28+N29+N30+N31+N32+N33+N35</f>
        <v>9091531.3200000003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365879.9</v>
      </c>
      <c r="I27" s="28">
        <v>0</v>
      </c>
      <c r="J27" s="28">
        <v>0</v>
      </c>
      <c r="K27" s="28">
        <f>89796.33+134435.01+100</f>
        <v>224331.34000000003</v>
      </c>
      <c r="L27" s="28">
        <v>0</v>
      </c>
      <c r="M27" s="28">
        <v>0</v>
      </c>
      <c r="N27" s="28">
        <f t="shared" ref="N27:N35" si="3">SUM(B27:M27)</f>
        <v>590211.24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649</v>
      </c>
      <c r="L28" s="28">
        <v>0</v>
      </c>
      <c r="M28" s="28">
        <v>0</v>
      </c>
      <c r="N28" s="28">
        <f t="shared" si="3"/>
        <v>649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619417.93999999994</v>
      </c>
      <c r="I29" s="28">
        <v>0</v>
      </c>
      <c r="J29" s="28">
        <v>0</v>
      </c>
      <c r="K29" s="28">
        <f>157084.55+44995.9</f>
        <v>202080.44999999998</v>
      </c>
      <c r="L29" s="28">
        <v>0</v>
      </c>
      <c r="M29" s="28">
        <v>0</v>
      </c>
      <c r="N29" s="28">
        <f t="shared" si="3"/>
        <v>821498.3899999999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3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162326.94</v>
      </c>
      <c r="I31" s="28">
        <v>0</v>
      </c>
      <c r="J31" s="28">
        <v>0</v>
      </c>
      <c r="K31" s="28">
        <v>3606.73</v>
      </c>
      <c r="L31" s="28">
        <v>0</v>
      </c>
      <c r="M31" s="28">
        <v>0</v>
      </c>
      <c r="N31" s="28">
        <f t="shared" si="3"/>
        <v>165933.67000000001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45228.04</v>
      </c>
      <c r="I32" s="28">
        <v>0</v>
      </c>
      <c r="J32" s="28">
        <v>0</v>
      </c>
      <c r="K32" s="28">
        <f>478.5+300+130+240+7986.79+2450</f>
        <v>11585.29</v>
      </c>
      <c r="L32" s="28">
        <v>0</v>
      </c>
      <c r="M32" s="28">
        <v>0</v>
      </c>
      <c r="N32" s="28">
        <f t="shared" si="3"/>
        <v>108936.29000000001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2877756.64</v>
      </c>
      <c r="I33" s="28">
        <v>0</v>
      </c>
      <c r="J33" s="28">
        <v>0</v>
      </c>
      <c r="K33" s="28">
        <f>1986569.8+5399.93+1000+975+9629.45+9554.4</f>
        <v>2013128.5799999998</v>
      </c>
      <c r="L33" s="28">
        <v>450000</v>
      </c>
      <c r="M33" s="28">
        <v>0</v>
      </c>
      <c r="N33" s="28">
        <f t="shared" si="3"/>
        <v>6377700.2199999997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846853.58</v>
      </c>
      <c r="I35" s="28">
        <v>0</v>
      </c>
      <c r="J35" s="28">
        <v>0</v>
      </c>
      <c r="K35" s="28">
        <f>30282.43+99558.48+295+1290+12579.93+177.5+30600.94</f>
        <v>174784.28</v>
      </c>
      <c r="L35" s="28">
        <v>0</v>
      </c>
      <c r="M35" s="28">
        <v>0</v>
      </c>
      <c r="N35" s="28">
        <f t="shared" si="3"/>
        <v>1026602.51</v>
      </c>
    </row>
    <row r="36" spans="1:14" ht="17.25" customHeight="1" x14ac:dyDescent="0.25">
      <c r="A36" s="3" t="s">
        <v>27</v>
      </c>
      <c r="B36" s="29">
        <f t="shared" ref="B36:N36" si="4">B37+B38+B39+B40+B41+B42</f>
        <v>0</v>
      </c>
      <c r="C36" s="29">
        <f t="shared" si="4"/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  <c r="I36" s="29">
        <f t="shared" si="4"/>
        <v>0</v>
      </c>
      <c r="J36" s="29">
        <f t="shared" si="4"/>
        <v>0</v>
      </c>
      <c r="K36" s="29">
        <f t="shared" si="4"/>
        <v>0</v>
      </c>
      <c r="L36" s="29">
        <f t="shared" si="4"/>
        <v>0</v>
      </c>
      <c r="M36" s="29">
        <f t="shared" si="4"/>
        <v>0</v>
      </c>
      <c r="N36" s="29">
        <f t="shared" si="4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5">B46</f>
        <v>0</v>
      </c>
      <c r="C45" s="29">
        <f t="shared" si="5"/>
        <v>0</v>
      </c>
      <c r="D45" s="29">
        <f t="shared" si="5"/>
        <v>0</v>
      </c>
      <c r="E45" s="29">
        <f t="shared" si="5"/>
        <v>0</v>
      </c>
      <c r="F45" s="29">
        <f t="shared" si="5"/>
        <v>0</v>
      </c>
      <c r="G45" s="29">
        <f t="shared" si="5"/>
        <v>0</v>
      </c>
      <c r="H45" s="29">
        <f t="shared" si="5"/>
        <v>0</v>
      </c>
      <c r="I45" s="29">
        <f t="shared" si="5"/>
        <v>0</v>
      </c>
      <c r="J45" s="29">
        <f t="shared" si="5"/>
        <v>0</v>
      </c>
      <c r="K45" s="29">
        <f t="shared" si="5"/>
        <v>0</v>
      </c>
      <c r="L45" s="29">
        <f t="shared" si="5"/>
        <v>0</v>
      </c>
      <c r="M45" s="29">
        <f t="shared" si="5"/>
        <v>0</v>
      </c>
      <c r="N45" s="29">
        <f t="shared" si="5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>B53</f>
        <v>0</v>
      </c>
      <c r="C52" s="29">
        <f>C53</f>
        <v>110353.60000000001</v>
      </c>
      <c r="D52" s="29">
        <f>D53</f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H53+H57</f>
        <v>84290.02</v>
      </c>
      <c r="I52" s="29">
        <f>I53</f>
        <v>31258.2</v>
      </c>
      <c r="J52" s="29">
        <f>J53</f>
        <v>296715.55</v>
      </c>
      <c r="K52" s="29">
        <f>K53</f>
        <v>193914.53</v>
      </c>
      <c r="L52" s="29">
        <f>L53</f>
        <v>111020.3</v>
      </c>
      <c r="M52" s="29">
        <f>M53+M54</f>
        <v>0</v>
      </c>
      <c r="N52" s="29">
        <f>SUM(B52:M52)</f>
        <v>1931915.8500000003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31258.2</v>
      </c>
      <c r="J53" s="28">
        <v>296715.55</v>
      </c>
      <c r="K53" s="28">
        <v>193914.53</v>
      </c>
      <c r="L53" s="28">
        <v>111020.3</v>
      </c>
      <c r="M53" s="28">
        <v>0</v>
      </c>
      <c r="N53" s="28">
        <f>SUM(B53:M53)</f>
        <v>1799240.2200000002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84290.02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132675.63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6">B63</f>
        <v>0</v>
      </c>
      <c r="C62" s="29">
        <f t="shared" si="6"/>
        <v>0</v>
      </c>
      <c r="D62" s="29">
        <f t="shared" si="6"/>
        <v>0</v>
      </c>
      <c r="E62" s="29">
        <f t="shared" si="6"/>
        <v>0</v>
      </c>
      <c r="F62" s="29">
        <f t="shared" si="6"/>
        <v>0</v>
      </c>
      <c r="G62" s="29">
        <f t="shared" si="6"/>
        <v>0</v>
      </c>
      <c r="H62" s="29">
        <f t="shared" si="6"/>
        <v>0</v>
      </c>
      <c r="I62" s="29">
        <f t="shared" si="6"/>
        <v>0</v>
      </c>
      <c r="J62" s="29">
        <f t="shared" si="6"/>
        <v>0</v>
      </c>
      <c r="K62" s="29">
        <f t="shared" si="6"/>
        <v>0</v>
      </c>
      <c r="L62" s="29">
        <f t="shared" si="6"/>
        <v>0</v>
      </c>
      <c r="M62" s="29">
        <f t="shared" si="6"/>
        <v>0</v>
      </c>
      <c r="N62" s="29">
        <f t="shared" si="6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>F52+F16+F10</f>
        <v>22696219.619999997</v>
      </c>
      <c r="G83" s="30">
        <f>G52+G16+G10</f>
        <v>19111516.259999998</v>
      </c>
      <c r="H83" s="30">
        <f>H52+H16+H10+H26</f>
        <v>31783753.469999999</v>
      </c>
      <c r="I83" s="30">
        <f>I52+I26+I16+I10</f>
        <v>20042446.799999997</v>
      </c>
      <c r="J83" s="30">
        <f>J52+J16+J10</f>
        <v>19654690.93</v>
      </c>
      <c r="K83" s="30">
        <f>K52+K16+K10+K26</f>
        <v>37558637.189999998</v>
      </c>
      <c r="L83" s="30">
        <f>L52+L16+L10+L26</f>
        <v>34955877.710000001</v>
      </c>
      <c r="M83" s="30">
        <f>M10+M16+M52+M26</f>
        <v>0</v>
      </c>
      <c r="N83" s="30">
        <f>N52+N26+N16+N10</f>
        <v>257017229.48000002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2022-12-06T14:40:59Z</cp:lastPrinted>
  <dcterms:created xsi:type="dcterms:W3CDTF">2021-07-29T18:58:50Z</dcterms:created>
  <dcterms:modified xsi:type="dcterms:W3CDTF">2022-12-06T14:43:19Z</dcterms:modified>
</cp:coreProperties>
</file>