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Documents\2022\Finanzas\Presupuesto\Octubre\"/>
    </mc:Choice>
  </mc:AlternateContent>
  <xr:revisionPtr revIDLastSave="0" documentId="8_{8755FBAE-2431-4C89-BA7D-B113811E91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3" i="3" l="1"/>
  <c r="K26" i="3"/>
  <c r="K35" i="3"/>
  <c r="K33" i="3"/>
  <c r="K32" i="3"/>
  <c r="K29" i="3"/>
  <c r="K27" i="3"/>
  <c r="K24" i="3"/>
  <c r="K23" i="3"/>
  <c r="K22" i="3"/>
  <c r="K21" i="3"/>
  <c r="K20" i="3"/>
  <c r="K17" i="3"/>
  <c r="K15" i="3"/>
  <c r="M17" i="2"/>
  <c r="M11" i="2"/>
  <c r="M15" i="2"/>
  <c r="Q34" i="2"/>
  <c r="Q57" i="2"/>
  <c r="Q56" i="2"/>
  <c r="Q55" i="2"/>
  <c r="L17" i="2"/>
  <c r="L11" i="2"/>
  <c r="L15" i="2"/>
  <c r="H16" i="3" l="1"/>
  <c r="H52" i="3"/>
  <c r="H26" i="3"/>
  <c r="K35" i="2"/>
  <c r="K33" i="2"/>
  <c r="K32" i="2"/>
  <c r="K31" i="2"/>
  <c r="K16" i="2"/>
  <c r="K11" i="2"/>
  <c r="K15" i="2"/>
  <c r="G17" i="3"/>
  <c r="G11" i="3"/>
  <c r="G15" i="3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35" i="3"/>
  <c r="E26" i="3" s="1"/>
  <c r="G17" i="2"/>
  <c r="G11" i="2"/>
  <c r="G15" i="2"/>
  <c r="C26" i="3"/>
  <c r="F17" i="2"/>
  <c r="F16" i="2" s="1"/>
  <c r="F15" i="2"/>
  <c r="F11" i="2"/>
  <c r="K52" i="3"/>
  <c r="D52" i="3"/>
  <c r="C52" i="3"/>
  <c r="B52" i="3"/>
  <c r="B26" i="3"/>
  <c r="C16" i="2"/>
  <c r="D18" i="1" l="1"/>
  <c r="M52" i="3"/>
  <c r="M26" i="3"/>
  <c r="M10" i="3"/>
  <c r="D52" i="2"/>
  <c r="P52" i="2"/>
  <c r="D36" i="2"/>
  <c r="D16" i="2"/>
  <c r="N54" i="3"/>
  <c r="L26" i="3"/>
  <c r="L16" i="3"/>
  <c r="L52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M16" i="3"/>
  <c r="K16" i="3"/>
  <c r="J16" i="3"/>
  <c r="G16" i="3"/>
  <c r="F16" i="3"/>
  <c r="E16" i="3"/>
  <c r="D16" i="3"/>
  <c r="C16" i="3"/>
  <c r="B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Q54" i="2"/>
  <c r="Q53" i="2"/>
  <c r="I52" i="2"/>
  <c r="O52" i="2"/>
  <c r="N52" i="2"/>
  <c r="M52" i="2"/>
  <c r="L52" i="2"/>
  <c r="K52" i="2"/>
  <c r="J52" i="2"/>
  <c r="Q29" i="2"/>
  <c r="Q35" i="2"/>
  <c r="Q33" i="2"/>
  <c r="Q32" i="2"/>
  <c r="Q31" i="2"/>
  <c r="Q30" i="2"/>
  <c r="Q28" i="2"/>
  <c r="Q27" i="2"/>
  <c r="Q25" i="2"/>
  <c r="Q23" i="2"/>
  <c r="Q20" i="2"/>
  <c r="Q19" i="2"/>
  <c r="Q18" i="2"/>
  <c r="L16" i="2"/>
  <c r="Q24" i="2"/>
  <c r="Q22" i="2"/>
  <c r="Q21" i="2"/>
  <c r="Q17" i="2"/>
  <c r="Q15" i="2"/>
  <c r="Q12" i="2"/>
  <c r="Q11" i="2"/>
  <c r="H52" i="2"/>
  <c r="G52" i="2"/>
  <c r="F52" i="2"/>
  <c r="E52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J16" i="2"/>
  <c r="I16" i="2"/>
  <c r="H16" i="2"/>
  <c r="G16" i="2"/>
  <c r="E16" i="2"/>
  <c r="P10" i="2"/>
  <c r="O10" i="2"/>
  <c r="N10" i="2"/>
  <c r="M10" i="2"/>
  <c r="L10" i="2"/>
  <c r="K10" i="2"/>
  <c r="J10" i="2"/>
  <c r="I10" i="2"/>
  <c r="H10" i="2"/>
  <c r="G10" i="2"/>
  <c r="F10" i="2"/>
  <c r="E10" i="2"/>
  <c r="C52" i="2"/>
  <c r="C36" i="2"/>
  <c r="D26" i="2"/>
  <c r="C26" i="2"/>
  <c r="C10" i="2"/>
  <c r="D10" i="2"/>
  <c r="Q10" i="2" l="1"/>
  <c r="E83" i="3"/>
  <c r="D83" i="3"/>
  <c r="C83" i="3"/>
  <c r="B83" i="3"/>
  <c r="M83" i="3"/>
  <c r="F83" i="3"/>
  <c r="G83" i="3"/>
  <c r="J83" i="3"/>
  <c r="L83" i="3"/>
  <c r="C83" i="2"/>
  <c r="Q52" i="2"/>
  <c r="D83" i="2"/>
  <c r="I83" i="3"/>
  <c r="N26" i="3"/>
  <c r="N10" i="3"/>
  <c r="N16" i="3"/>
  <c r="N52" i="3"/>
  <c r="Q26" i="2"/>
  <c r="G83" i="2"/>
  <c r="H83" i="2"/>
  <c r="Q16" i="2"/>
  <c r="P83" i="2"/>
  <c r="J83" i="2"/>
  <c r="N83" i="2"/>
  <c r="O83" i="2"/>
  <c r="I83" i="2"/>
  <c r="M83" i="2"/>
  <c r="L83" i="2"/>
  <c r="K83" i="2"/>
  <c r="F83" i="2"/>
  <c r="E83" i="2"/>
  <c r="E54" i="1"/>
  <c r="D54" i="1"/>
  <c r="E38" i="1"/>
  <c r="D38" i="1"/>
  <c r="E28" i="1"/>
  <c r="D28" i="1"/>
  <c r="E18" i="1"/>
  <c r="E12" i="1"/>
  <c r="D12" i="1"/>
  <c r="E85" i="1" l="1"/>
  <c r="D85" i="1"/>
  <c r="N83" i="3"/>
  <c r="Q83" i="2"/>
</calcChain>
</file>

<file path=xl/sharedStrings.xml><?xml version="1.0" encoding="utf-8"?>
<sst xmlns="http://schemas.openxmlformats.org/spreadsheetml/2006/main" count="290" uniqueCount="109">
  <si>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</si>
  <si>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</si>
  <si>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</si>
  <si>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</si>
  <si>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</si>
  <si>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</si>
  <si>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</si>
  <si>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</si>
  <si>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</si>
  <si>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</si>
  <si>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</si>
  <si>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</si>
  <si>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</si>
  <si>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</si>
  <si>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</si>
  <si>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</si>
  <si>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</si>
  <si>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</si>
  <si>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</si>
  <si>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</si>
  <si>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</si>
  <si>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</si>
  <si>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</si>
  <si>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</si>
  <si>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</si>
  <si>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</si>
  <si>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</si>
  <si>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</si>
  <si>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</si>
  <si>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</si>
  <si>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</si>
  <si>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</si>
  <si>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</si>
  <si>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</si>
  <si>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</si>
  <si>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</si>
  <si>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</si>
  <si>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</si>
  <si>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</si>
  <si>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</si>
  <si>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</si>
  <si>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</si>
  <si>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</si>
  <si>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</si>
  <si>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</si>
  <si>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</si>
  <si>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</si>
  <si>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</si>
  <si>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</si>
  <si>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</si>
  <si>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</si>
  <si>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</si>
  <si>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</si>
  <si>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</si>
  <si>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</si>
  <si>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</si>
  <si>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</si>
  <si>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</si>
  <si>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</si>
  <si>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</si>
  <si>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</si>
  <si>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</si>
  <si>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</si>
  <si>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</si>
  <si>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</si>
  <si>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</si>
  <si>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</si>
  <si>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</si>
  <si>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</si>
  <si>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</si>
  <si>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</si>
  <si>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</si>
  <si>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</si>
  <si>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</si>
  <si>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</si>
  <si>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</si>
  <si>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</si>
  <si>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</si>
  <si>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</si>
  <si>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</si>
  <si>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</si>
  <si>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</si>
  <si>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</si>
  <si>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</si>
  <si>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</si>
  <si>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</si>
  <si>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</si>
  <si>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</si>
  <si>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</si>
  <si>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</si>
  <si>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</si>
  <si>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</si>
  <si>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</si>
  <si>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</si>
  <si>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</si>
  <si>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</si>
  <si>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</si>
  <si>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</si>
  <si>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</si>
  <si>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</si>
  <si>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</si>
  <si>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</si>
  <si>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</si>
  <si>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</si>
  <si>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</si>
  <si>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</si>
  <si>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</si>
  <si>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</si>
  <si>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Encargada Administrativa y Financiera – SIUBEN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</si>
</sst>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 indent="1"/>
    </xf>
    <xf numFmtId="0" fontId="3" fillId="0" borderId="1" xfId="0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342900</xdr:colOff>
      <xdr:row>2</xdr:row>
      <xdr:rowOff>9525</xdr:rowOff>
    </xdr:from>
    <xdr:to>
      <xdr:col>5</xdr:col>
      <xdr:colOff>180975</xdr:colOff>
      <xdr:row>5</xdr:row>
      <xdr:rowOff>57151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390525"/>
          <a:ext cx="2124075" cy="876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0</xdr:row>
      <xdr:rowOff>152400</xdr:rowOff>
    </xdr:from>
    <xdr:to>
      <xdr:col>16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OGO</a:t>
          </a:r>
        </a:p>
      </xdr:txBody>
    </xdr:sp>
    <xdr:clientData/>
  </xdr:twoCellAnchor>
  <xdr:twoCellAnchor editAs="oneCell">
    <xdr:from>
      <xdr:col>14</xdr:col>
      <xdr:colOff>323851</xdr:colOff>
      <xdr:row>0</xdr:row>
      <xdr:rowOff>0</xdr:rowOff>
    </xdr:from>
    <xdr:to>
      <xdr:col>16</xdr:col>
      <xdr:colOff>876301</xdr:colOff>
      <xdr:row>3</xdr:row>
      <xdr:rowOff>47626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67B64A-EA9B-4702-B32E-CF7099285D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78351" y="371475"/>
          <a:ext cx="2124075" cy="876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1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10</xdr:col>
      <xdr:colOff>381001</xdr:colOff>
      <xdr:row>1</xdr:row>
      <xdr:rowOff>104775</xdr:rowOff>
    </xdr:from>
    <xdr:to>
      <xdr:col>13</xdr:col>
      <xdr:colOff>133351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851" y="485775"/>
          <a:ext cx="21240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59" workbookViewId="0">
      <selection activeCell="E94" sqref="E94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2" t="s">
        <v>98</v>
      </c>
      <c r="D3" s="42"/>
      <c r="E3" s="42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2" t="s">
        <v>99</v>
      </c>
      <c r="D4" s="42"/>
      <c r="E4" s="42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8">
        <v>2022</v>
      </c>
      <c r="D5" s="49"/>
      <c r="E5" s="49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3" t="s">
        <v>76</v>
      </c>
      <c r="D6" s="44"/>
      <c r="E6" s="44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3" t="s">
        <v>77</v>
      </c>
      <c r="D7" s="44"/>
      <c r="E7" s="4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5" t="s">
        <v>66</v>
      </c>
      <c r="D9" s="46" t="s">
        <v>94</v>
      </c>
      <c r="E9" s="46" t="s">
        <v>93</v>
      </c>
      <c r="F9" s="8"/>
    </row>
    <row r="10" spans="2:16" ht="23.25" customHeight="1" x14ac:dyDescent="0.25">
      <c r="C10" s="45"/>
      <c r="D10" s="47"/>
      <c r="E10" s="47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122221626</v>
      </c>
      <c r="E12" s="4">
        <f>E13+E14+E17</f>
        <v>200966688.45999998</v>
      </c>
      <c r="F12" s="8"/>
    </row>
    <row r="13" spans="2:16" x14ac:dyDescent="0.25">
      <c r="C13" s="5" t="s">
        <v>2</v>
      </c>
      <c r="D13" s="6">
        <v>93300360</v>
      </c>
      <c r="E13" s="6">
        <v>162747841.81999999</v>
      </c>
      <c r="F13" s="8"/>
    </row>
    <row r="14" spans="2:16" x14ac:dyDescent="0.25">
      <c r="C14" s="5" t="s">
        <v>3</v>
      </c>
      <c r="D14" s="6">
        <v>16002000</v>
      </c>
      <c r="E14" s="6">
        <v>16002000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12919266</v>
      </c>
      <c r="E17" s="6">
        <v>22216846.640000001</v>
      </c>
      <c r="F17" s="8"/>
    </row>
    <row r="18" spans="3:6" x14ac:dyDescent="0.25">
      <c r="C18" s="3" t="s">
        <v>7</v>
      </c>
      <c r="D18" s="4">
        <f>D19+D20+D21+D22+D23+D24+D25+D26+D27</f>
        <v>157568266</v>
      </c>
      <c r="E18" s="4">
        <f>E19+E20+E21+E22+E23+E24+E25+E26+E27</f>
        <v>89902679.539999992</v>
      </c>
      <c r="F18" s="8"/>
    </row>
    <row r="19" spans="3:6" x14ac:dyDescent="0.25">
      <c r="C19" s="5" t="s">
        <v>8</v>
      </c>
      <c r="D19" s="6">
        <v>22370000</v>
      </c>
      <c r="E19" s="6">
        <v>26036500</v>
      </c>
      <c r="F19" s="8"/>
    </row>
    <row r="20" spans="3:6" x14ac:dyDescent="0.25">
      <c r="C20" s="5" t="s">
        <v>9</v>
      </c>
      <c r="D20" s="6">
        <v>1100000</v>
      </c>
      <c r="E20" s="6">
        <v>850000</v>
      </c>
      <c r="F20" s="8"/>
    </row>
    <row r="21" spans="3:6" x14ac:dyDescent="0.25">
      <c r="C21" s="5" t="s">
        <v>10</v>
      </c>
      <c r="D21" s="6">
        <v>4200000</v>
      </c>
      <c r="E21" s="6">
        <v>7947900</v>
      </c>
      <c r="F21" s="8"/>
    </row>
    <row r="22" spans="3:6" x14ac:dyDescent="0.25">
      <c r="C22" s="5" t="s">
        <v>11</v>
      </c>
      <c r="D22" s="6">
        <v>2720000</v>
      </c>
      <c r="E22" s="6">
        <v>2726430</v>
      </c>
      <c r="F22" s="8"/>
    </row>
    <row r="23" spans="3:6" x14ac:dyDescent="0.25">
      <c r="C23" s="5" t="s">
        <v>12</v>
      </c>
      <c r="D23" s="6">
        <v>14053244</v>
      </c>
      <c r="E23" s="6">
        <v>20430679.739999998</v>
      </c>
    </row>
    <row r="24" spans="3:6" x14ac:dyDescent="0.25">
      <c r="C24" s="5" t="s">
        <v>13</v>
      </c>
      <c r="D24" s="6">
        <v>4900000</v>
      </c>
      <c r="E24" s="6">
        <v>13942274.68</v>
      </c>
    </row>
    <row r="25" spans="3:6" x14ac:dyDescent="0.25">
      <c r="C25" s="5" t="s">
        <v>14</v>
      </c>
      <c r="D25" s="6">
        <v>5400000</v>
      </c>
      <c r="E25" s="6">
        <v>4823920</v>
      </c>
    </row>
    <row r="26" spans="3:6" x14ac:dyDescent="0.25">
      <c r="C26" s="5" t="s">
        <v>15</v>
      </c>
      <c r="D26" s="6">
        <v>100625022</v>
      </c>
      <c r="E26" s="6">
        <v>10944975.119999999</v>
      </c>
    </row>
    <row r="27" spans="3:6" x14ac:dyDescent="0.25">
      <c r="C27" s="5" t="s">
        <v>16</v>
      </c>
      <c r="D27" s="6">
        <v>2200000</v>
      </c>
      <c r="E27" s="6">
        <v>2200000</v>
      </c>
    </row>
    <row r="28" spans="3:6" x14ac:dyDescent="0.25">
      <c r="C28" s="3" t="s">
        <v>17</v>
      </c>
      <c r="D28" s="4">
        <f>D29+D30+D31+D32+D33+D34+D35+D37</f>
        <v>15857000</v>
      </c>
      <c r="E28" s="4">
        <f>E29+E30+E31+E32+E33+E34+E35+E37</f>
        <v>13927524</v>
      </c>
    </row>
    <row r="29" spans="3:6" x14ac:dyDescent="0.25">
      <c r="C29" s="5" t="s">
        <v>18</v>
      </c>
      <c r="D29" s="6">
        <v>800000</v>
      </c>
      <c r="E29" s="6">
        <v>656968</v>
      </c>
    </row>
    <row r="30" spans="3:6" x14ac:dyDescent="0.25">
      <c r="C30" s="5" t="s">
        <v>19</v>
      </c>
      <c r="D30" s="6">
        <v>900000</v>
      </c>
      <c r="E30" s="6">
        <v>793500</v>
      </c>
    </row>
    <row r="31" spans="3:6" x14ac:dyDescent="0.25">
      <c r="C31" s="5" t="s">
        <v>20</v>
      </c>
      <c r="D31" s="6">
        <v>925000</v>
      </c>
      <c r="E31" s="6">
        <v>1015689</v>
      </c>
    </row>
    <row r="32" spans="3:6" x14ac:dyDescent="0.25">
      <c r="C32" s="5" t="s">
        <v>21</v>
      </c>
      <c r="D32" s="6">
        <v>420000</v>
      </c>
      <c r="E32" s="6">
        <v>170000</v>
      </c>
    </row>
    <row r="33" spans="3:5" x14ac:dyDescent="0.25">
      <c r="C33" s="5" t="s">
        <v>22</v>
      </c>
      <c r="D33" s="6">
        <v>1400000</v>
      </c>
      <c r="E33" s="6">
        <v>1050110</v>
      </c>
    </row>
    <row r="34" spans="3:5" x14ac:dyDescent="0.25">
      <c r="C34" s="5" t="s">
        <v>23</v>
      </c>
      <c r="D34" s="6">
        <v>342000</v>
      </c>
      <c r="E34" s="6">
        <v>359946</v>
      </c>
    </row>
    <row r="35" spans="3:5" x14ac:dyDescent="0.25">
      <c r="C35" s="5" t="s">
        <v>24</v>
      </c>
      <c r="D35" s="6">
        <v>6350000</v>
      </c>
      <c r="E35" s="6">
        <v>6789577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4720000</v>
      </c>
      <c r="E37" s="6">
        <v>3091734</v>
      </c>
    </row>
    <row r="38" spans="3:5" x14ac:dyDescent="0.25">
      <c r="C38" s="3" t="s">
        <v>27</v>
      </c>
      <c r="D38" s="4">
        <f>D39</f>
        <v>400000</v>
      </c>
      <c r="E38" s="4">
        <f>E39</f>
        <v>400000</v>
      </c>
    </row>
    <row r="39" spans="3:5" x14ac:dyDescent="0.25">
      <c r="C39" s="5" t="s">
        <v>28</v>
      </c>
      <c r="D39" s="6">
        <v>400000</v>
      </c>
      <c r="E39" s="6">
        <v>400000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6100000</v>
      </c>
      <c r="E54" s="4">
        <f>E55+E58+E59</f>
        <v>4350000</v>
      </c>
    </row>
    <row r="55" spans="3:5" x14ac:dyDescent="0.25">
      <c r="C55" s="5" t="s">
        <v>44</v>
      </c>
      <c r="D55" s="6">
        <v>2500000</v>
      </c>
      <c r="E55" s="6">
        <v>2415700</v>
      </c>
    </row>
    <row r="56" spans="3:5" x14ac:dyDescent="0.25">
      <c r="C56" s="5" t="s">
        <v>45</v>
      </c>
      <c r="D56" s="6"/>
    </row>
    <row r="57" spans="3:5" x14ac:dyDescent="0.25">
      <c r="C57" s="5" t="s">
        <v>46</v>
      </c>
      <c r="D57" s="6"/>
    </row>
    <row r="58" spans="3:5" x14ac:dyDescent="0.25">
      <c r="C58" s="5" t="s">
        <v>47</v>
      </c>
      <c r="D58" s="6">
        <v>3500000</v>
      </c>
      <c r="E58" s="6">
        <v>1750000</v>
      </c>
    </row>
    <row r="59" spans="3:5" x14ac:dyDescent="0.25">
      <c r="C59" s="5" t="s">
        <v>48</v>
      </c>
      <c r="D59" s="6">
        <v>100000</v>
      </c>
      <c r="E59" s="6">
        <v>184300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7">
        <f>D54+D38+D28+D18+D12</f>
        <v>302146892</v>
      </c>
      <c r="E85" s="27">
        <f>E54+E38+E28+E18+E12</f>
        <v>309546892</v>
      </c>
    </row>
    <row r="90" spans="3:5" ht="15.75" thickBot="1" x14ac:dyDescent="0.3"/>
    <row r="91" spans="3:5" ht="26.25" customHeight="1" thickBot="1" x14ac:dyDescent="0.3">
      <c r="C91" s="26" t="s">
        <v>95</v>
      </c>
    </row>
    <row r="92" spans="3:5" ht="33.75" customHeight="1" thickBot="1" x14ac:dyDescent="0.3">
      <c r="C92" s="24" t="s">
        <v>96</v>
      </c>
    </row>
    <row r="93" spans="3:5" ht="60.75" thickBot="1" x14ac:dyDescent="0.3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90"/>
  <sheetViews>
    <sheetView showGridLines="0" tabSelected="1" workbookViewId="0">
      <selection activeCell="D18" sqref="D18"/>
    </sheetView>
  </sheetViews>
  <sheetFormatPr defaultColWidth="11.42578125" defaultRowHeight="15" x14ac:dyDescent="0.25"/>
  <cols>
    <col min="1" max="1" width="3.140625" customWidth="1"/>
    <col min="2" max="2" width="60.140625" customWidth="1"/>
    <col min="3" max="3" width="16.140625" customWidth="1"/>
    <col min="4" max="4" width="14.85546875" customWidth="1"/>
    <col min="5" max="6" width="13.140625" customWidth="1"/>
    <col min="7" max="8" width="13.28515625" customWidth="1"/>
    <col min="9" max="9" width="13.7109375" customWidth="1"/>
    <col min="10" max="10" width="13" customWidth="1"/>
    <col min="11" max="11" width="12.85546875" customWidth="1"/>
    <col min="12" max="12" width="13.140625" customWidth="1"/>
    <col min="13" max="13" width="12.85546875" customWidth="1"/>
    <col min="14" max="14" width="14" customWidth="1"/>
    <col min="15" max="15" width="10.140625" customWidth="1"/>
    <col min="16" max="16" width="13.42578125" customWidth="1"/>
    <col min="17" max="17" width="15.5703125" customWidth="1"/>
  </cols>
  <sheetData>
    <row r="1" spans="2:18" ht="28.5" customHeight="1" x14ac:dyDescent="0.25">
      <c r="B1" s="53" t="s">
        <v>98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2:18" ht="21" customHeight="1" x14ac:dyDescent="0.25">
      <c r="B2" s="55" t="s">
        <v>100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8" ht="15.75" x14ac:dyDescent="0.25">
      <c r="B3" s="48">
        <v>2022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2:18" ht="15.75" customHeight="1" x14ac:dyDescent="0.25">
      <c r="B4" s="43" t="s">
        <v>92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2:18" ht="15.75" customHeight="1" x14ac:dyDescent="0.25">
      <c r="B5" s="44" t="s">
        <v>77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2:18" hidden="1" x14ac:dyDescent="0.25"/>
    <row r="7" spans="2:18" ht="25.5" customHeight="1" x14ac:dyDescent="0.25">
      <c r="B7" s="45" t="s">
        <v>66</v>
      </c>
      <c r="C7" s="46" t="s">
        <v>94</v>
      </c>
      <c r="D7" s="46" t="s">
        <v>93</v>
      </c>
      <c r="E7" s="50" t="s">
        <v>91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</row>
    <row r="8" spans="2:18" x14ac:dyDescent="0.25">
      <c r="B8" s="45"/>
      <c r="C8" s="47"/>
      <c r="D8" s="47"/>
      <c r="E8" s="15" t="s">
        <v>79</v>
      </c>
      <c r="F8" s="15" t="s">
        <v>80</v>
      </c>
      <c r="G8" s="15" t="s">
        <v>81</v>
      </c>
      <c r="H8" s="15" t="s">
        <v>82</v>
      </c>
      <c r="I8" s="16" t="s">
        <v>83</v>
      </c>
      <c r="J8" s="15" t="s">
        <v>84</v>
      </c>
      <c r="K8" s="16" t="s">
        <v>85</v>
      </c>
      <c r="L8" s="15" t="s">
        <v>86</v>
      </c>
      <c r="M8" s="15" t="s">
        <v>87</v>
      </c>
      <c r="N8" s="15" t="s">
        <v>88</v>
      </c>
      <c r="O8" s="15" t="s">
        <v>89</v>
      </c>
      <c r="P8" s="16" t="s">
        <v>90</v>
      </c>
      <c r="Q8" s="15" t="s">
        <v>78</v>
      </c>
    </row>
    <row r="9" spans="2:18" x14ac:dyDescent="0.25">
      <c r="B9" s="1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8" x14ac:dyDescent="0.25">
      <c r="B10" s="40" t="s">
        <v>1</v>
      </c>
      <c r="C10" s="29">
        <f>C11+C12+C15</f>
        <v>122221626</v>
      </c>
      <c r="D10" s="29">
        <f>D11+D12+D15</f>
        <v>200966688.45999998</v>
      </c>
      <c r="E10" s="29">
        <f t="shared" ref="E10:P10" si="0">E11+E12+E15</f>
        <v>10318594.130000001</v>
      </c>
      <c r="F10" s="29">
        <f t="shared" si="0"/>
        <v>13121888.960000001</v>
      </c>
      <c r="G10" s="29">
        <f t="shared" si="0"/>
        <v>16495577.43</v>
      </c>
      <c r="H10" s="29">
        <f t="shared" si="0"/>
        <v>14865946.060000001</v>
      </c>
      <c r="I10" s="29">
        <f t="shared" si="0"/>
        <v>14325419.569999998</v>
      </c>
      <c r="J10" s="29">
        <f t="shared" si="0"/>
        <v>14434653.82</v>
      </c>
      <c r="K10" s="29">
        <f t="shared" si="0"/>
        <v>14260976.210000001</v>
      </c>
      <c r="L10" s="29">
        <f t="shared" si="0"/>
        <v>14528236.569999998</v>
      </c>
      <c r="M10" s="29">
        <f t="shared" si="0"/>
        <v>14572794.839999998</v>
      </c>
      <c r="N10" s="29">
        <f t="shared" si="0"/>
        <v>26863890.579999998</v>
      </c>
      <c r="O10" s="29">
        <f t="shared" si="0"/>
        <v>0</v>
      </c>
      <c r="P10" s="29">
        <f t="shared" si="0"/>
        <v>0</v>
      </c>
      <c r="Q10" s="29">
        <f>SUM(E10:P10)</f>
        <v>153787978.17000002</v>
      </c>
    </row>
    <row r="11" spans="2:18" x14ac:dyDescent="0.25">
      <c r="B11" s="33" t="s">
        <v>2</v>
      </c>
      <c r="C11" s="28">
        <v>93300360</v>
      </c>
      <c r="D11" s="28">
        <v>162747841.81999999</v>
      </c>
      <c r="E11" s="28">
        <v>8974683.2300000004</v>
      </c>
      <c r="F11" s="28">
        <f>11102082.23+20000</f>
        <v>11122082.23</v>
      </c>
      <c r="G11" s="28">
        <f>11107126.19+20000+1363000+1442068+372866.44</f>
        <v>14305060.629999999</v>
      </c>
      <c r="H11" s="28">
        <v>12770064.17</v>
      </c>
      <c r="I11" s="28">
        <v>12223128.039999999</v>
      </c>
      <c r="J11" s="28">
        <v>12346107.880000001</v>
      </c>
      <c r="K11" s="28">
        <f>11491330.98+18000+518000+116927.19</f>
        <v>12144258.17</v>
      </c>
      <c r="L11" s="28">
        <f>11833724.12+20000+501000</f>
        <v>12354724.119999999</v>
      </c>
      <c r="M11" s="28">
        <f>11863724.12+20000+496750+15475.54</f>
        <v>12395949.659999998</v>
      </c>
      <c r="N11" s="28">
        <v>24683347.859999999</v>
      </c>
      <c r="O11" s="28">
        <v>0</v>
      </c>
      <c r="P11" s="28">
        <v>0</v>
      </c>
      <c r="Q11" s="28">
        <f>SUM(E11:P11)</f>
        <v>133319405.99000001</v>
      </c>
    </row>
    <row r="12" spans="2:18" x14ac:dyDescent="0.25">
      <c r="B12" s="33" t="s">
        <v>3</v>
      </c>
      <c r="C12" s="28">
        <v>16002000</v>
      </c>
      <c r="D12" s="28">
        <v>16002000</v>
      </c>
      <c r="E12" s="28">
        <v>333500</v>
      </c>
      <c r="F12" s="28">
        <v>333500</v>
      </c>
      <c r="G12" s="28">
        <v>333500</v>
      </c>
      <c r="H12" s="28">
        <v>333500</v>
      </c>
      <c r="I12" s="28">
        <v>333500</v>
      </c>
      <c r="J12" s="28">
        <v>333500</v>
      </c>
      <c r="K12" s="28">
        <v>326500</v>
      </c>
      <c r="L12" s="28">
        <v>333500</v>
      </c>
      <c r="M12" s="28">
        <v>333500</v>
      </c>
      <c r="N12" s="28">
        <v>333500</v>
      </c>
      <c r="O12" s="28">
        <v>0</v>
      </c>
      <c r="P12" s="28">
        <v>0</v>
      </c>
      <c r="Q12" s="28">
        <f>SUM(E12:P12)</f>
        <v>3328000</v>
      </c>
    </row>
    <row r="13" spans="2:18" x14ac:dyDescent="0.25">
      <c r="B13" s="33" t="s">
        <v>4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17"/>
    </row>
    <row r="14" spans="2:18" x14ac:dyDescent="0.25">
      <c r="B14" s="33" t="s">
        <v>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</row>
    <row r="15" spans="2:18" x14ac:dyDescent="0.25">
      <c r="B15" s="33" t="s">
        <v>6</v>
      </c>
      <c r="C15" s="28">
        <v>12919266</v>
      </c>
      <c r="D15" s="28">
        <v>22216846.640000001</v>
      </c>
      <c r="E15" s="28">
        <v>1010410.9</v>
      </c>
      <c r="F15" s="28">
        <f>778532.3+789667.82+98106.61</f>
        <v>1666306.7300000002</v>
      </c>
      <c r="G15" s="28">
        <f>866043.72+886798.94+104174.14</f>
        <v>1857016.7999999998</v>
      </c>
      <c r="H15" s="28">
        <v>1762381.89</v>
      </c>
      <c r="I15" s="28">
        <v>1768791.53</v>
      </c>
      <c r="J15" s="28">
        <v>1755045.94</v>
      </c>
      <c r="K15" s="28">
        <f>833834.2+853940.49+102443.35</f>
        <v>1790218.04</v>
      </c>
      <c r="L15" s="28">
        <f>857046.38+877185.4+105780.67</f>
        <v>1840012.45</v>
      </c>
      <c r="M15" s="28">
        <f>858872.06+879013.65+105459.47</f>
        <v>1843345.18</v>
      </c>
      <c r="N15" s="28">
        <v>1847042.72</v>
      </c>
      <c r="O15" s="28">
        <v>0</v>
      </c>
      <c r="P15" s="28">
        <v>0</v>
      </c>
      <c r="Q15" s="28">
        <f t="shared" ref="Q15:Q25" si="1">SUM(E15:P15)</f>
        <v>17140572.179999996</v>
      </c>
    </row>
    <row r="16" spans="2:18" x14ac:dyDescent="0.25">
      <c r="B16" s="40" t="s">
        <v>7</v>
      </c>
      <c r="C16" s="29">
        <f>C17+C18+C19+C20+C21+C22+C23+C24+C25</f>
        <v>157568266</v>
      </c>
      <c r="D16" s="29">
        <f>D17+D18+D19+D20+D21+D22+D23+D24+D25</f>
        <v>88509364.539999992</v>
      </c>
      <c r="E16" s="29">
        <f t="shared" ref="E16:P16" si="2">E17+E18+E19+E20+E21+E22+E23+E24</f>
        <v>2041119.06</v>
      </c>
      <c r="F16" s="29">
        <f>F17+F18+F19+F20+F21+F22+F23+F24</f>
        <v>4191962.75</v>
      </c>
      <c r="G16" s="29">
        <f t="shared" si="2"/>
        <v>2944059.5700000003</v>
      </c>
      <c r="H16" s="29">
        <f t="shared" si="2"/>
        <v>4926319.68</v>
      </c>
      <c r="I16" s="29">
        <f t="shared" si="2"/>
        <v>8370800.0499999998</v>
      </c>
      <c r="J16" s="29">
        <f t="shared" si="2"/>
        <v>4676862.4400000004</v>
      </c>
      <c r="K16" s="29">
        <f>K17+K18+K19+K20+K21+K22+K23+K24+K25</f>
        <v>12521024.200000001</v>
      </c>
      <c r="L16" s="29">
        <f>L17+L18+L19+L20+L21+L22+L23+L24+L25</f>
        <v>5482952.0300000003</v>
      </c>
      <c r="M16" s="29">
        <f t="shared" si="2"/>
        <v>4785180.54</v>
      </c>
      <c r="N16" s="29">
        <f t="shared" si="2"/>
        <v>7870666.4099999992</v>
      </c>
      <c r="O16" s="29">
        <f t="shared" si="2"/>
        <v>0</v>
      </c>
      <c r="P16" s="29">
        <f t="shared" si="2"/>
        <v>0</v>
      </c>
      <c r="Q16" s="29">
        <f t="shared" si="1"/>
        <v>57810946.729999997</v>
      </c>
    </row>
    <row r="17" spans="2:17" x14ac:dyDescent="0.25">
      <c r="B17" s="33" t="s">
        <v>8</v>
      </c>
      <c r="C17" s="28">
        <v>22370000</v>
      </c>
      <c r="D17" s="28">
        <v>26038180</v>
      </c>
      <c r="E17" s="28">
        <v>2041119.06</v>
      </c>
      <c r="F17" s="28">
        <f>477608.77+399421.17+1754566.25+485060.35</f>
        <v>3116656.54</v>
      </c>
      <c r="G17" s="28">
        <f>383209.77+221864.07+794511.97+492147.91</f>
        <v>1891733.72</v>
      </c>
      <c r="H17" s="28">
        <v>1888613.25</v>
      </c>
      <c r="I17" s="28">
        <v>2315450.12</v>
      </c>
      <c r="J17" s="28">
        <v>2650989.4300000002</v>
      </c>
      <c r="K17" s="28">
        <v>2786366.52</v>
      </c>
      <c r="L17" s="28">
        <f>677870.51+268414.24+875254.13+665876.37</f>
        <v>2487415.25</v>
      </c>
      <c r="M17" s="28">
        <f>504125.14+217243.69+866618.52+650734.82</f>
        <v>2238722.17</v>
      </c>
      <c r="N17" s="28">
        <v>1885836.9</v>
      </c>
      <c r="O17" s="28">
        <v>0</v>
      </c>
      <c r="P17" s="28">
        <v>0</v>
      </c>
      <c r="Q17" s="28">
        <f t="shared" si="1"/>
        <v>23302902.960000001</v>
      </c>
    </row>
    <row r="18" spans="2:17" x14ac:dyDescent="0.25">
      <c r="B18" s="33" t="s">
        <v>9</v>
      </c>
      <c r="C18" s="28">
        <v>1100000</v>
      </c>
      <c r="D18" s="28">
        <v>850000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226114</v>
      </c>
      <c r="L18" s="28">
        <v>0</v>
      </c>
      <c r="M18" s="28">
        <v>0</v>
      </c>
      <c r="N18" s="28">
        <v>18277.740000000002</v>
      </c>
      <c r="O18" s="28">
        <v>0</v>
      </c>
      <c r="P18" s="28">
        <v>0</v>
      </c>
      <c r="Q18" s="28">
        <f t="shared" si="1"/>
        <v>244391.74</v>
      </c>
    </row>
    <row r="19" spans="2:17" x14ac:dyDescent="0.25">
      <c r="B19" s="33" t="s">
        <v>10</v>
      </c>
      <c r="C19" s="28">
        <v>4200000</v>
      </c>
      <c r="D19" s="28">
        <v>8977635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2470380</v>
      </c>
      <c r="L19" s="28">
        <v>0</v>
      </c>
      <c r="M19" s="28">
        <v>0</v>
      </c>
      <c r="N19" s="28">
        <v>2887185</v>
      </c>
      <c r="O19" s="28">
        <v>0</v>
      </c>
      <c r="P19" s="28">
        <v>0</v>
      </c>
      <c r="Q19" s="28">
        <f t="shared" si="1"/>
        <v>5357565</v>
      </c>
    </row>
    <row r="20" spans="2:17" x14ac:dyDescent="0.25">
      <c r="B20" s="33" t="s">
        <v>11</v>
      </c>
      <c r="C20" s="28">
        <v>2720000</v>
      </c>
      <c r="D20" s="28">
        <v>1941430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489184.37</v>
      </c>
      <c r="L20" s="28">
        <v>0</v>
      </c>
      <c r="M20" s="28">
        <v>0</v>
      </c>
      <c r="N20" s="28">
        <v>59613.74</v>
      </c>
      <c r="O20" s="28">
        <v>0</v>
      </c>
      <c r="P20" s="28">
        <v>0</v>
      </c>
      <c r="Q20" s="28">
        <f t="shared" si="1"/>
        <v>548798.11</v>
      </c>
    </row>
    <row r="21" spans="2:17" x14ac:dyDescent="0.25">
      <c r="B21" s="33" t="s">
        <v>12</v>
      </c>
      <c r="C21" s="28">
        <v>14053244</v>
      </c>
      <c r="D21" s="28">
        <v>19590679.739999998</v>
      </c>
      <c r="E21" s="28">
        <v>0</v>
      </c>
      <c r="F21" s="28">
        <v>0</v>
      </c>
      <c r="G21" s="28">
        <v>0</v>
      </c>
      <c r="H21" s="28">
        <v>0</v>
      </c>
      <c r="I21" s="28">
        <v>5022189.21</v>
      </c>
      <c r="J21" s="28">
        <v>1004437.84</v>
      </c>
      <c r="K21" s="28">
        <v>1402242.28</v>
      </c>
      <c r="L21" s="28">
        <v>1670639.44</v>
      </c>
      <c r="M21" s="28">
        <v>1799166.94</v>
      </c>
      <c r="N21" s="28">
        <v>1453475.65</v>
      </c>
      <c r="O21" s="28">
        <v>0</v>
      </c>
      <c r="P21" s="28">
        <v>0</v>
      </c>
      <c r="Q21" s="28">
        <f t="shared" si="1"/>
        <v>12352151.359999999</v>
      </c>
    </row>
    <row r="22" spans="2:17" x14ac:dyDescent="0.25">
      <c r="B22" s="33" t="s">
        <v>13</v>
      </c>
      <c r="C22" s="28">
        <v>4900000</v>
      </c>
      <c r="D22" s="28">
        <v>12418274.68</v>
      </c>
      <c r="E22" s="28">
        <v>0</v>
      </c>
      <c r="F22" s="28">
        <v>1075306.21</v>
      </c>
      <c r="G22" s="28">
        <v>1052325.8500000001</v>
      </c>
      <c r="H22" s="28">
        <v>1337706.43</v>
      </c>
      <c r="I22" s="28">
        <v>1033160.72</v>
      </c>
      <c r="J22" s="28">
        <v>1021435.17</v>
      </c>
      <c r="K22" s="28">
        <v>1400717.15</v>
      </c>
      <c r="L22" s="28">
        <v>1324897.3400000001</v>
      </c>
      <c r="M22" s="28">
        <v>747291.43</v>
      </c>
      <c r="N22" s="28">
        <v>1039557.02</v>
      </c>
      <c r="O22" s="28">
        <v>0</v>
      </c>
      <c r="P22" s="28">
        <v>0</v>
      </c>
      <c r="Q22" s="28">
        <f t="shared" si="1"/>
        <v>10032397.319999998</v>
      </c>
    </row>
    <row r="23" spans="2:17" ht="30" x14ac:dyDescent="0.25">
      <c r="B23" s="33" t="s">
        <v>14</v>
      </c>
      <c r="C23" s="28">
        <v>5400000</v>
      </c>
      <c r="D23" s="28">
        <v>4881690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1887334.14</v>
      </c>
      <c r="L23" s="28">
        <v>0</v>
      </c>
      <c r="M23" s="28">
        <v>0</v>
      </c>
      <c r="N23" s="28">
        <v>74085.66</v>
      </c>
      <c r="O23" s="28">
        <v>0</v>
      </c>
      <c r="P23" s="28">
        <v>0</v>
      </c>
      <c r="Q23" s="28">
        <f t="shared" si="1"/>
        <v>1961419.7999999998</v>
      </c>
    </row>
    <row r="24" spans="2:17" x14ac:dyDescent="0.25">
      <c r="B24" s="33" t="s">
        <v>15</v>
      </c>
      <c r="C24" s="28">
        <v>100625022</v>
      </c>
      <c r="D24" s="28">
        <v>11211475.119999999</v>
      </c>
      <c r="E24" s="28">
        <v>0</v>
      </c>
      <c r="F24" s="28">
        <v>0</v>
      </c>
      <c r="G24" s="28">
        <v>0</v>
      </c>
      <c r="H24" s="28">
        <v>1700000</v>
      </c>
      <c r="I24" s="28">
        <v>0</v>
      </c>
      <c r="J24" s="28">
        <v>0</v>
      </c>
      <c r="K24" s="28">
        <v>1072051.6200000001</v>
      </c>
      <c r="L24" s="28">
        <v>0</v>
      </c>
      <c r="M24" s="28">
        <v>0</v>
      </c>
      <c r="N24" s="28">
        <v>452634.7</v>
      </c>
      <c r="O24" s="28">
        <v>0</v>
      </c>
      <c r="P24" s="28">
        <v>0</v>
      </c>
      <c r="Q24" s="28">
        <f t="shared" si="1"/>
        <v>3224686.3200000003</v>
      </c>
    </row>
    <row r="25" spans="2:17" x14ac:dyDescent="0.25">
      <c r="B25" s="33" t="s">
        <v>16</v>
      </c>
      <c r="C25" s="28">
        <v>2200000</v>
      </c>
      <c r="D25" s="28">
        <v>2600000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786634.12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f t="shared" si="1"/>
        <v>786634.12</v>
      </c>
    </row>
    <row r="26" spans="2:17" x14ac:dyDescent="0.25">
      <c r="B26" s="40" t="s">
        <v>17</v>
      </c>
      <c r="C26" s="29">
        <f>C27+C28+C29+C30+C31+C32+C33+C35</f>
        <v>15857000</v>
      </c>
      <c r="D26" s="29">
        <f>D27+D28+D29+D30+D31+D32+D33+D35</f>
        <v>15720839</v>
      </c>
      <c r="E26" s="29">
        <f t="shared" ref="E26:Q26" si="3">E27+E28+E29+E30+E31+E32+E33+E35</f>
        <v>479407</v>
      </c>
      <c r="F26" s="29">
        <f t="shared" si="3"/>
        <v>557408</v>
      </c>
      <c r="G26" s="29">
        <f t="shared" si="3"/>
        <v>0</v>
      </c>
      <c r="H26" s="29">
        <f t="shared" si="3"/>
        <v>57087.61</v>
      </c>
      <c r="I26" s="29">
        <f t="shared" si="3"/>
        <v>0</v>
      </c>
      <c r="J26" s="29">
        <f t="shared" si="3"/>
        <v>0</v>
      </c>
      <c r="K26" s="29">
        <f t="shared" si="3"/>
        <v>4917463.04</v>
      </c>
      <c r="L26" s="29">
        <f t="shared" si="3"/>
        <v>0</v>
      </c>
      <c r="M26" s="29">
        <f t="shared" si="3"/>
        <v>0</v>
      </c>
      <c r="N26" s="29">
        <f t="shared" si="3"/>
        <v>2630165.67</v>
      </c>
      <c r="O26" s="29">
        <f t="shared" si="3"/>
        <v>0</v>
      </c>
      <c r="P26" s="29">
        <f t="shared" si="3"/>
        <v>0</v>
      </c>
      <c r="Q26" s="29">
        <f t="shared" si="3"/>
        <v>8641531.3200000003</v>
      </c>
    </row>
    <row r="27" spans="2:17" x14ac:dyDescent="0.25">
      <c r="B27" s="33" t="s">
        <v>18</v>
      </c>
      <c r="C27" s="28">
        <v>800000</v>
      </c>
      <c r="D27" s="28">
        <v>857968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365879.9</v>
      </c>
      <c r="L27" s="28">
        <v>0</v>
      </c>
      <c r="M27" s="28">
        <v>0</v>
      </c>
      <c r="N27" s="28">
        <v>224331.34</v>
      </c>
      <c r="O27" s="28">
        <v>0</v>
      </c>
      <c r="P27" s="28">
        <v>0</v>
      </c>
      <c r="Q27" s="28">
        <f t="shared" ref="Q27:Q34" si="4">SUM(E27:P27)</f>
        <v>590211.24</v>
      </c>
    </row>
    <row r="28" spans="2:17" x14ac:dyDescent="0.25">
      <c r="B28" s="33" t="s">
        <v>19</v>
      </c>
      <c r="C28" s="28">
        <v>900000</v>
      </c>
      <c r="D28" s="28">
        <v>501500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649</v>
      </c>
      <c r="O28" s="28">
        <v>0</v>
      </c>
      <c r="P28" s="28">
        <v>0</v>
      </c>
      <c r="Q28" s="28">
        <f t="shared" si="4"/>
        <v>649</v>
      </c>
    </row>
    <row r="29" spans="2:17" x14ac:dyDescent="0.25">
      <c r="B29" s="33" t="s">
        <v>20</v>
      </c>
      <c r="C29" s="28">
        <v>925000</v>
      </c>
      <c r="D29" s="28">
        <v>1065689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619417.93999999994</v>
      </c>
      <c r="L29" s="28">
        <v>0</v>
      </c>
      <c r="M29" s="28">
        <v>0</v>
      </c>
      <c r="N29" s="28">
        <v>202080.45</v>
      </c>
      <c r="O29" s="28">
        <v>0</v>
      </c>
      <c r="P29" s="28">
        <v>0</v>
      </c>
      <c r="Q29" s="28">
        <f t="shared" si="4"/>
        <v>821498.3899999999</v>
      </c>
    </row>
    <row r="30" spans="2:17" x14ac:dyDescent="0.25">
      <c r="B30" s="33" t="s">
        <v>21</v>
      </c>
      <c r="C30" s="28">
        <v>420000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f t="shared" si="4"/>
        <v>0</v>
      </c>
    </row>
    <row r="31" spans="2:17" x14ac:dyDescent="0.25">
      <c r="B31" s="33" t="s">
        <v>22</v>
      </c>
      <c r="C31" s="28">
        <v>1400000</v>
      </c>
      <c r="D31" s="28">
        <v>953210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f>111583.69+1194.51+49548.74</f>
        <v>162326.94</v>
      </c>
      <c r="L31" s="28">
        <v>0</v>
      </c>
      <c r="M31" s="28">
        <v>0</v>
      </c>
      <c r="N31" s="28">
        <v>3606.73</v>
      </c>
      <c r="O31" s="28">
        <v>0</v>
      </c>
      <c r="P31" s="28">
        <v>0</v>
      </c>
      <c r="Q31" s="28">
        <f t="shared" si="4"/>
        <v>165933.67000000001</v>
      </c>
    </row>
    <row r="32" spans="2:17" ht="30" x14ac:dyDescent="0.25">
      <c r="B32" s="33" t="s">
        <v>23</v>
      </c>
      <c r="C32" s="28">
        <v>342000</v>
      </c>
      <c r="D32" s="28">
        <v>368196</v>
      </c>
      <c r="E32" s="28">
        <v>0</v>
      </c>
      <c r="F32" s="28">
        <v>0</v>
      </c>
      <c r="G32" s="28">
        <v>0</v>
      </c>
      <c r="H32" s="28">
        <v>52122.96</v>
      </c>
      <c r="I32" s="28">
        <v>0</v>
      </c>
      <c r="J32" s="28">
        <v>0</v>
      </c>
      <c r="K32" s="28">
        <f>3365+2832.7+455+27367.4+11207.94</f>
        <v>45228.04</v>
      </c>
      <c r="L32" s="28">
        <v>0</v>
      </c>
      <c r="M32" s="28">
        <v>0</v>
      </c>
      <c r="N32" s="28">
        <v>11585.29</v>
      </c>
      <c r="O32" s="28">
        <v>0</v>
      </c>
      <c r="P32" s="28">
        <v>0</v>
      </c>
      <c r="Q32" s="28">
        <f t="shared" si="4"/>
        <v>108936.29000000001</v>
      </c>
    </row>
    <row r="33" spans="2:17" ht="30" x14ac:dyDescent="0.25">
      <c r="B33" s="33" t="s">
        <v>24</v>
      </c>
      <c r="C33" s="28">
        <v>6350000</v>
      </c>
      <c r="D33" s="28">
        <v>8803547</v>
      </c>
      <c r="E33" s="28">
        <v>479407</v>
      </c>
      <c r="F33" s="28">
        <v>557408</v>
      </c>
      <c r="G33" s="28">
        <v>0</v>
      </c>
      <c r="H33" s="28">
        <v>0</v>
      </c>
      <c r="I33" s="28">
        <v>0</v>
      </c>
      <c r="J33" s="28">
        <v>0</v>
      </c>
      <c r="K33" s="28">
        <f>2801529.74+5625+3000+1562+1208.6+735+63871.3+225</f>
        <v>2877756.64</v>
      </c>
      <c r="L33" s="28">
        <v>0</v>
      </c>
      <c r="M33" s="28">
        <v>0</v>
      </c>
      <c r="N33" s="28">
        <v>2013128.58</v>
      </c>
      <c r="O33" s="28">
        <v>0</v>
      </c>
      <c r="P33" s="28">
        <v>0</v>
      </c>
      <c r="Q33" s="28">
        <f t="shared" si="4"/>
        <v>5927700.2200000007</v>
      </c>
    </row>
    <row r="34" spans="2:17" ht="30" x14ac:dyDescent="0.25">
      <c r="B34" s="33" t="s">
        <v>25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f t="shared" si="4"/>
        <v>0</v>
      </c>
    </row>
    <row r="35" spans="2:17" x14ac:dyDescent="0.25">
      <c r="B35" s="33" t="s">
        <v>26</v>
      </c>
      <c r="C35" s="28">
        <v>4720000</v>
      </c>
      <c r="D35" s="28">
        <v>3170729</v>
      </c>
      <c r="E35" s="28">
        <v>0</v>
      </c>
      <c r="F35" s="28">
        <v>0</v>
      </c>
      <c r="G35" s="28">
        <v>0</v>
      </c>
      <c r="H35" s="28">
        <v>4964.6499999999996</v>
      </c>
      <c r="I35" s="28">
        <v>0</v>
      </c>
      <c r="J35" s="28">
        <v>0</v>
      </c>
      <c r="K35" s="28">
        <f>151693.57+201129.29+14375.96+58037.35+344296.91+56611.98+13522.35+4307+2879.17</f>
        <v>846853.58</v>
      </c>
      <c r="L35" s="28">
        <v>0</v>
      </c>
      <c r="M35" s="28">
        <v>0</v>
      </c>
      <c r="N35" s="28">
        <v>174784.28</v>
      </c>
      <c r="O35" s="28">
        <v>0</v>
      </c>
      <c r="P35" s="28">
        <v>0</v>
      </c>
      <c r="Q35" s="28">
        <f>SUM(E35:P35)</f>
        <v>1026602.51</v>
      </c>
    </row>
    <row r="36" spans="2:17" x14ac:dyDescent="0.25">
      <c r="B36" s="40" t="s">
        <v>27</v>
      </c>
      <c r="C36" s="29">
        <f>C37</f>
        <v>400000</v>
      </c>
      <c r="D36" s="29">
        <f>D37</f>
        <v>0</v>
      </c>
      <c r="E36" s="29">
        <f t="shared" ref="E36:Q36" si="5">E37</f>
        <v>0</v>
      </c>
      <c r="F36" s="29">
        <f t="shared" si="5"/>
        <v>0</v>
      </c>
      <c r="G36" s="29">
        <f t="shared" si="5"/>
        <v>0</v>
      </c>
      <c r="H36" s="29">
        <f t="shared" si="5"/>
        <v>0</v>
      </c>
      <c r="I36" s="29">
        <f t="shared" si="5"/>
        <v>0</v>
      </c>
      <c r="J36" s="29">
        <f t="shared" si="5"/>
        <v>0</v>
      </c>
      <c r="K36" s="29">
        <f t="shared" si="5"/>
        <v>0</v>
      </c>
      <c r="L36" s="29">
        <f t="shared" si="5"/>
        <v>0</v>
      </c>
      <c r="M36" s="29">
        <f t="shared" si="5"/>
        <v>0</v>
      </c>
      <c r="N36" s="29">
        <f t="shared" si="5"/>
        <v>0</v>
      </c>
      <c r="O36" s="29">
        <f t="shared" si="5"/>
        <v>0</v>
      </c>
      <c r="P36" s="29">
        <f t="shared" si="5"/>
        <v>0</v>
      </c>
      <c r="Q36" s="29">
        <f t="shared" si="5"/>
        <v>0</v>
      </c>
    </row>
    <row r="37" spans="2:17" x14ac:dyDescent="0.25">
      <c r="B37" s="33" t="s">
        <v>28</v>
      </c>
      <c r="C37" s="28">
        <v>400000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</row>
    <row r="38" spans="2:17" ht="30" x14ac:dyDescent="0.25">
      <c r="B38" s="33" t="s">
        <v>29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</row>
    <row r="39" spans="2:17" ht="30" x14ac:dyDescent="0.25">
      <c r="B39" s="33" t="s">
        <v>30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</row>
    <row r="40" spans="2:17" ht="30" x14ac:dyDescent="0.25">
      <c r="B40" s="33" t="s">
        <v>31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</row>
    <row r="41" spans="2:17" ht="30" x14ac:dyDescent="0.25">
      <c r="B41" s="33" t="s">
        <v>32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</row>
    <row r="42" spans="2:17" x14ac:dyDescent="0.25">
      <c r="B42" s="33" t="s">
        <v>33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</row>
    <row r="43" spans="2:17" x14ac:dyDescent="0.25">
      <c r="B43" s="33" t="s">
        <v>34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</row>
    <row r="44" spans="2:17" ht="30" x14ac:dyDescent="0.25">
      <c r="B44" s="33" t="s">
        <v>35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</row>
    <row r="45" spans="2:17" x14ac:dyDescent="0.25">
      <c r="B45" s="40" t="s">
        <v>36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2:17" x14ac:dyDescent="0.25">
      <c r="B46" s="33" t="s">
        <v>37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</row>
    <row r="47" spans="2:17" ht="30" x14ac:dyDescent="0.25">
      <c r="B47" s="33" t="s">
        <v>38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</row>
    <row r="48" spans="2:17" ht="30" x14ac:dyDescent="0.25">
      <c r="B48" s="33" t="s">
        <v>39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</row>
    <row r="49" spans="2:17" ht="30" x14ac:dyDescent="0.25">
      <c r="B49" s="33" t="s">
        <v>40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</row>
    <row r="50" spans="2:17" x14ac:dyDescent="0.25">
      <c r="B50" s="33" t="s">
        <v>41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</row>
    <row r="51" spans="2:17" ht="30" x14ac:dyDescent="0.25">
      <c r="B51" s="33" t="s">
        <v>42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</row>
    <row r="52" spans="2:17" x14ac:dyDescent="0.25">
      <c r="B52" s="40" t="s">
        <v>43</v>
      </c>
      <c r="C52" s="29">
        <f>C53+C56+C57</f>
        <v>6100000</v>
      </c>
      <c r="D52" s="29">
        <f>D53+D56+D57+D54</f>
        <v>4350000</v>
      </c>
      <c r="E52" s="29">
        <f>E53+E56+E57</f>
        <v>0</v>
      </c>
      <c r="F52" s="29">
        <f>F53+F56+F57</f>
        <v>110353.60000000001</v>
      </c>
      <c r="G52" s="29">
        <f>G53+G56+G57</f>
        <v>1055978.04</v>
      </c>
      <c r="H52" s="29">
        <f>H53+H56+H57</f>
        <v>48385.61</v>
      </c>
      <c r="I52" s="29">
        <f>I54</f>
        <v>0</v>
      </c>
      <c r="J52" s="29">
        <f t="shared" ref="J52:O52" si="6">J53+J56+J57</f>
        <v>0</v>
      </c>
      <c r="K52" s="29">
        <f t="shared" si="6"/>
        <v>84290.02</v>
      </c>
      <c r="L52" s="29">
        <f t="shared" si="6"/>
        <v>31258.2</v>
      </c>
      <c r="M52" s="29">
        <f t="shared" si="6"/>
        <v>296715.55</v>
      </c>
      <c r="N52" s="29">
        <f t="shared" si="6"/>
        <v>193914.53</v>
      </c>
      <c r="O52" s="29">
        <f t="shared" si="6"/>
        <v>0</v>
      </c>
      <c r="P52" s="29">
        <f>P53+P56+P57+P54</f>
        <v>0</v>
      </c>
      <c r="Q52" s="29">
        <f>SUM(E52:P52)</f>
        <v>1820895.5500000003</v>
      </c>
    </row>
    <row r="53" spans="2:17" x14ac:dyDescent="0.25">
      <c r="B53" s="33" t="s">
        <v>44</v>
      </c>
      <c r="C53" s="28">
        <v>2500000</v>
      </c>
      <c r="D53" s="28">
        <v>2415700</v>
      </c>
      <c r="E53" s="28">
        <v>0</v>
      </c>
      <c r="F53" s="28">
        <v>110353.60000000001</v>
      </c>
      <c r="G53" s="28">
        <v>1055978.04</v>
      </c>
      <c r="H53" s="28">
        <v>0</v>
      </c>
      <c r="I53" s="28">
        <v>0</v>
      </c>
      <c r="J53" s="28">
        <v>0</v>
      </c>
      <c r="K53" s="28">
        <v>0</v>
      </c>
      <c r="L53" s="28">
        <v>31258.2</v>
      </c>
      <c r="M53" s="28">
        <v>296715.55</v>
      </c>
      <c r="N53" s="28">
        <v>193914.53</v>
      </c>
      <c r="O53" s="28">
        <v>0</v>
      </c>
      <c r="P53" s="28">
        <v>0</v>
      </c>
      <c r="Q53" s="28">
        <f>SUM(E53:P53)</f>
        <v>1688219.9200000002</v>
      </c>
    </row>
    <row r="54" spans="2:17" ht="30" x14ac:dyDescent="0.25">
      <c r="B54" s="33" t="s">
        <v>45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f>SUM(E54:P54)</f>
        <v>0</v>
      </c>
    </row>
    <row r="55" spans="2:17" x14ac:dyDescent="0.25">
      <c r="B55" s="33" t="s">
        <v>46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f t="shared" ref="Q55:Q57" si="7">SUM(E55:P55)</f>
        <v>0</v>
      </c>
    </row>
    <row r="56" spans="2:17" ht="30" x14ac:dyDescent="0.25">
      <c r="B56" s="33" t="s">
        <v>47</v>
      </c>
      <c r="C56" s="28">
        <v>3500000</v>
      </c>
      <c r="D56" s="28">
        <v>1750000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f t="shared" si="7"/>
        <v>0</v>
      </c>
    </row>
    <row r="57" spans="2:17" x14ac:dyDescent="0.25">
      <c r="B57" s="33" t="s">
        <v>48</v>
      </c>
      <c r="C57" s="28">
        <v>100000</v>
      </c>
      <c r="D57" s="28">
        <v>184300</v>
      </c>
      <c r="E57" s="28">
        <v>0</v>
      </c>
      <c r="F57" s="28">
        <v>0</v>
      </c>
      <c r="G57" s="28">
        <v>0</v>
      </c>
      <c r="H57" s="28">
        <v>48385.61</v>
      </c>
      <c r="I57" s="28">
        <v>0</v>
      </c>
      <c r="J57" s="28">
        <v>0</v>
      </c>
      <c r="K57" s="28">
        <v>84290.02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f t="shared" si="7"/>
        <v>132675.63</v>
      </c>
    </row>
    <row r="58" spans="2:17" x14ac:dyDescent="0.25">
      <c r="B58" s="33" t="s">
        <v>49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</row>
    <row r="59" spans="2:17" x14ac:dyDescent="0.25">
      <c r="B59" s="33" t="s">
        <v>50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</row>
    <row r="60" spans="2:17" x14ac:dyDescent="0.25">
      <c r="B60" s="33" t="s">
        <v>51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</row>
    <row r="61" spans="2:17" ht="30" x14ac:dyDescent="0.25">
      <c r="B61" s="33" t="s">
        <v>52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</row>
    <row r="62" spans="2:17" x14ac:dyDescent="0.25">
      <c r="B62" s="40" t="s">
        <v>53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</row>
    <row r="63" spans="2:17" x14ac:dyDescent="0.25">
      <c r="B63" s="33" t="s">
        <v>54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</row>
    <row r="64" spans="2:17" x14ac:dyDescent="0.25">
      <c r="B64" s="33" t="s">
        <v>55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</row>
    <row r="65" spans="2:17" x14ac:dyDescent="0.25">
      <c r="B65" s="33" t="s">
        <v>56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</row>
    <row r="66" spans="2:17" ht="30" x14ac:dyDescent="0.25">
      <c r="B66" s="33" t="s">
        <v>57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</row>
    <row r="67" spans="2:17" ht="30" x14ac:dyDescent="0.25">
      <c r="B67" s="40" t="s">
        <v>58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</row>
    <row r="68" spans="2:17" x14ac:dyDescent="0.25">
      <c r="B68" s="33" t="s">
        <v>59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</row>
    <row r="69" spans="2:17" ht="30" x14ac:dyDescent="0.25">
      <c r="B69" s="33" t="s">
        <v>60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</row>
    <row r="70" spans="2:17" x14ac:dyDescent="0.25">
      <c r="B70" s="40" t="s">
        <v>61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2:17" x14ac:dyDescent="0.25">
      <c r="B71" s="33" t="s">
        <v>62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</row>
    <row r="72" spans="2:17" x14ac:dyDescent="0.25">
      <c r="B72" s="33" t="s">
        <v>63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</row>
    <row r="73" spans="2:17" ht="30" x14ac:dyDescent="0.25">
      <c r="B73" s="33" t="s">
        <v>64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</row>
    <row r="74" spans="2:17" x14ac:dyDescent="0.25">
      <c r="B74" s="41" t="s">
        <v>67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</row>
    <row r="75" spans="2:17" x14ac:dyDescent="0.25">
      <c r="B75" s="40" t="s">
        <v>68</v>
      </c>
      <c r="C75" s="29"/>
      <c r="D75" s="29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2:17" x14ac:dyDescent="0.25">
      <c r="B76" s="33" t="s">
        <v>69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</row>
    <row r="77" spans="2:17" ht="30" x14ac:dyDescent="0.25">
      <c r="B77" s="33" t="s">
        <v>70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</row>
    <row r="78" spans="2:17" x14ac:dyDescent="0.25">
      <c r="B78" s="40" t="s">
        <v>71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</row>
    <row r="79" spans="2:17" x14ac:dyDescent="0.25">
      <c r="B79" s="33" t="s">
        <v>72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</row>
    <row r="80" spans="2:17" x14ac:dyDescent="0.25">
      <c r="B80" s="33" t="s">
        <v>73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</row>
    <row r="81" spans="2:17" x14ac:dyDescent="0.25">
      <c r="B81" s="40" t="s">
        <v>74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</row>
    <row r="82" spans="2:17" x14ac:dyDescent="0.25">
      <c r="B82" s="33" t="s">
        <v>75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</row>
    <row r="83" spans="2:17" ht="21.75" customHeight="1" x14ac:dyDescent="0.25">
      <c r="B83" s="9" t="s">
        <v>65</v>
      </c>
      <c r="C83" s="32">
        <f>C52+C36+C26+C16+C10</f>
        <v>302146892</v>
      </c>
      <c r="D83" s="32">
        <f>D52+D36+D26+D16+D10</f>
        <v>309546892</v>
      </c>
      <c r="E83" s="32">
        <f t="shared" ref="E83:Q83" si="8">E52+E36+E26+E16+E10</f>
        <v>12839120.190000001</v>
      </c>
      <c r="F83" s="32">
        <f t="shared" si="8"/>
        <v>17981613.310000002</v>
      </c>
      <c r="G83" s="32">
        <f t="shared" si="8"/>
        <v>20495615.039999999</v>
      </c>
      <c r="H83" s="32">
        <f t="shared" si="8"/>
        <v>19897738.960000001</v>
      </c>
      <c r="I83" s="32">
        <f t="shared" si="8"/>
        <v>22696219.619999997</v>
      </c>
      <c r="J83" s="32">
        <f t="shared" si="8"/>
        <v>19111516.260000002</v>
      </c>
      <c r="K83" s="32">
        <f t="shared" si="8"/>
        <v>31783753.470000003</v>
      </c>
      <c r="L83" s="32">
        <f t="shared" si="8"/>
        <v>20042446.799999997</v>
      </c>
      <c r="M83" s="32">
        <f t="shared" si="8"/>
        <v>19654690.93</v>
      </c>
      <c r="N83" s="32">
        <f t="shared" si="8"/>
        <v>37558637.189999998</v>
      </c>
      <c r="O83" s="32">
        <f t="shared" si="8"/>
        <v>0</v>
      </c>
      <c r="P83" s="32">
        <f t="shared" si="8"/>
        <v>0</v>
      </c>
      <c r="Q83" s="32">
        <f t="shared" si="8"/>
        <v>222061351.77000001</v>
      </c>
    </row>
    <row r="84" spans="2:17" ht="36" customHeight="1" x14ac:dyDescent="0.25"/>
    <row r="85" spans="2:17" ht="18.75" x14ac:dyDescent="0.3">
      <c r="B85" s="35"/>
      <c r="C85" s="35" t="s">
        <v>102</v>
      </c>
      <c r="D85" s="34"/>
      <c r="E85" s="34"/>
      <c r="F85" s="34"/>
      <c r="G85" s="35" t="s">
        <v>103</v>
      </c>
      <c r="I85" s="36"/>
      <c r="K85" s="37"/>
      <c r="L85" s="34"/>
    </row>
    <row r="86" spans="2:17" ht="18.75" x14ac:dyDescent="0.3">
      <c r="B86" s="38"/>
      <c r="C86" s="38" t="s">
        <v>104</v>
      </c>
      <c r="D86" s="36"/>
      <c r="E86" s="34"/>
      <c r="F86" s="34"/>
      <c r="G86" s="38" t="s">
        <v>104</v>
      </c>
      <c r="I86" s="38"/>
      <c r="J86" s="34"/>
      <c r="K86" s="34"/>
      <c r="L86" s="34"/>
    </row>
    <row r="87" spans="2:17" ht="18.75" x14ac:dyDescent="0.3">
      <c r="B87" s="36"/>
      <c r="C87" s="36" t="s">
        <v>105</v>
      </c>
      <c r="D87" s="36"/>
      <c r="E87" s="34"/>
      <c r="F87" s="34"/>
      <c r="G87" s="36" t="s">
        <v>106</v>
      </c>
      <c r="I87" s="36"/>
      <c r="J87" s="34"/>
      <c r="K87" s="34"/>
      <c r="L87" s="34"/>
    </row>
    <row r="88" spans="2:17" ht="18.75" x14ac:dyDescent="0.3">
      <c r="B88" s="36"/>
      <c r="C88" s="36" t="s">
        <v>107</v>
      </c>
      <c r="D88" s="36"/>
      <c r="E88" s="34"/>
      <c r="F88" s="34"/>
      <c r="G88" s="36" t="s">
        <v>108</v>
      </c>
      <c r="I88" s="36"/>
      <c r="J88" s="34"/>
      <c r="K88" s="34"/>
      <c r="L88" s="34"/>
    </row>
    <row r="89" spans="2:17" ht="18.75" x14ac:dyDescent="0.3">
      <c r="E89" s="34"/>
      <c r="F89" s="34"/>
      <c r="G89" s="34"/>
      <c r="I89" s="34"/>
      <c r="J89" s="34"/>
      <c r="K89" s="34"/>
      <c r="L89" s="34"/>
    </row>
    <row r="90" spans="2:17" ht="18.75" x14ac:dyDescent="0.25">
      <c r="C90" s="36"/>
    </row>
  </sheetData>
  <mergeCells count="9">
    <mergeCell ref="B5:Q5"/>
    <mergeCell ref="E7:Q7"/>
    <mergeCell ref="B1:Q1"/>
    <mergeCell ref="B2:Q2"/>
    <mergeCell ref="B7:B8"/>
    <mergeCell ref="C7:C8"/>
    <mergeCell ref="D7:D8"/>
    <mergeCell ref="B3:Q3"/>
    <mergeCell ref="B4:Q4"/>
  </mergeCells>
  <pageMargins left="0" right="0" top="0.19685039370078741" bottom="0.35433070866141736" header="0.31496062992125984" footer="0.31496062992125984"/>
  <pageSetup paperSize="5" scale="65" orientation="landscape" r:id="rId1"/>
  <headerFooter>
    <oddFooter>&amp;C&amp;Pde&amp;N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topLeftCell="A8" zoomScaleNormal="100" workbookViewId="0">
      <selection activeCell="A21" sqref="A21"/>
    </sheetView>
  </sheetViews>
  <sheetFormatPr defaultColWidth="11.42578125" defaultRowHeight="15" x14ac:dyDescent="0.25"/>
  <cols>
    <col min="1" max="1" width="72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2.140625" customWidth="1"/>
    <col min="13" max="13" width="10.140625" customWidth="1"/>
    <col min="14" max="14" width="14.5703125" customWidth="1"/>
  </cols>
  <sheetData>
    <row r="2" spans="1:15" ht="28.5" customHeight="1" x14ac:dyDescent="0.25">
      <c r="A2" s="53" t="s">
        <v>98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5" ht="21" customHeight="1" x14ac:dyDescent="0.25">
      <c r="A3" s="55" t="s">
        <v>101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5" ht="15.75" x14ac:dyDescent="0.25">
      <c r="A4" s="48">
        <v>2022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5" ht="15.75" customHeight="1" x14ac:dyDescent="0.25">
      <c r="A5" s="43" t="s">
        <v>92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5" ht="15.75" customHeight="1" x14ac:dyDescent="0.25">
      <c r="A6" s="44" t="s">
        <v>77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9" t="s">
        <v>87</v>
      </c>
      <c r="K8" s="39" t="s">
        <v>88</v>
      </c>
      <c r="L8" s="39" t="s">
        <v>89</v>
      </c>
      <c r="M8" s="39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9">
        <f>B11+B12+B15</f>
        <v>10318594.130000001</v>
      </c>
      <c r="C10" s="29">
        <f t="shared" ref="C10:M10" si="0">C11+C12+C15</f>
        <v>13121888.960000001</v>
      </c>
      <c r="D10" s="29">
        <f t="shared" si="0"/>
        <v>16495577.430000002</v>
      </c>
      <c r="E10" s="29">
        <f t="shared" si="0"/>
        <v>14865946.060000001</v>
      </c>
      <c r="F10" s="29">
        <f t="shared" si="0"/>
        <v>14325419.569999998</v>
      </c>
      <c r="G10" s="29">
        <f t="shared" si="0"/>
        <v>14434653.82</v>
      </c>
      <c r="H10" s="29">
        <f t="shared" si="0"/>
        <v>14260976.210000001</v>
      </c>
      <c r="I10" s="29">
        <f>I11+I12+I15</f>
        <v>14528236.569999998</v>
      </c>
      <c r="J10" s="29">
        <f t="shared" si="0"/>
        <v>14572794.84</v>
      </c>
      <c r="K10" s="29">
        <f t="shared" si="0"/>
        <v>26863890.579999998</v>
      </c>
      <c r="L10" s="29">
        <f t="shared" si="0"/>
        <v>0</v>
      </c>
      <c r="M10" s="29">
        <f t="shared" si="0"/>
        <v>0</v>
      </c>
      <c r="N10" s="29">
        <f>SUM(B10:M10)</f>
        <v>153787978.17000002</v>
      </c>
    </row>
    <row r="11" spans="1:15" ht="17.25" customHeight="1" x14ac:dyDescent="0.25">
      <c r="A11" s="5" t="s">
        <v>2</v>
      </c>
      <c r="B11" s="28">
        <v>8974683.2300000004</v>
      </c>
      <c r="C11" s="28">
        <v>11122082.23</v>
      </c>
      <c r="D11" s="28">
        <v>14305060.630000001</v>
      </c>
      <c r="E11" s="28">
        <v>12770064.17</v>
      </c>
      <c r="F11" s="28">
        <v>12223128.039999999</v>
      </c>
      <c r="G11" s="28">
        <f>11312997.65+20000+464300+135000+413810.23</f>
        <v>12346107.880000001</v>
      </c>
      <c r="H11" s="28">
        <v>12144258.17</v>
      </c>
      <c r="I11" s="28">
        <v>12354724.119999999</v>
      </c>
      <c r="J11" s="28">
        <v>12395949.66</v>
      </c>
      <c r="K11" s="28">
        <v>24683347.859999999</v>
      </c>
      <c r="L11" s="28">
        <v>0</v>
      </c>
      <c r="M11" s="28">
        <v>0</v>
      </c>
      <c r="N11" s="28">
        <f>SUM(B11:M11)</f>
        <v>133319405.99000001</v>
      </c>
    </row>
    <row r="12" spans="1:15" ht="17.25" customHeight="1" x14ac:dyDescent="0.25">
      <c r="A12" s="5" t="s">
        <v>3</v>
      </c>
      <c r="B12" s="28">
        <v>333500</v>
      </c>
      <c r="C12" s="28">
        <v>333500</v>
      </c>
      <c r="D12" s="28">
        <v>333500</v>
      </c>
      <c r="E12" s="28">
        <v>333500</v>
      </c>
      <c r="F12" s="28">
        <v>333500</v>
      </c>
      <c r="G12" s="28">
        <v>333500</v>
      </c>
      <c r="H12" s="28">
        <v>326500</v>
      </c>
      <c r="I12" s="28">
        <v>333500</v>
      </c>
      <c r="J12" s="28">
        <v>333500</v>
      </c>
      <c r="K12" s="28">
        <v>333500</v>
      </c>
      <c r="L12" s="28">
        <v>0</v>
      </c>
      <c r="M12" s="28">
        <v>0</v>
      </c>
      <c r="N12" s="28">
        <f>SUM(B12:M12)</f>
        <v>3328000</v>
      </c>
    </row>
    <row r="13" spans="1:15" ht="17.25" customHeight="1" x14ac:dyDescent="0.25">
      <c r="A13" s="5" t="s">
        <v>4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17"/>
    </row>
    <row r="14" spans="1:15" ht="17.25" customHeight="1" x14ac:dyDescent="0.25">
      <c r="A14" s="5" t="s">
        <v>5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5" ht="17.25" customHeight="1" x14ac:dyDescent="0.25">
      <c r="A15" s="5" t="s">
        <v>6</v>
      </c>
      <c r="B15" s="28">
        <v>1010410.9</v>
      </c>
      <c r="C15" s="28">
        <v>1666306.73</v>
      </c>
      <c r="D15" s="28">
        <v>1857016.8</v>
      </c>
      <c r="E15" s="28">
        <v>1762381.89</v>
      </c>
      <c r="F15" s="28">
        <v>1768791.53</v>
      </c>
      <c r="G15" s="28">
        <f>817524.84+837608.12+99912.98</f>
        <v>1755045.94</v>
      </c>
      <c r="H15" s="28">
        <v>1790218.04</v>
      </c>
      <c r="I15" s="28">
        <v>1840012.45</v>
      </c>
      <c r="J15" s="28">
        <v>1843345.18</v>
      </c>
      <c r="K15" s="28">
        <f>860815.91+880960.22+105266.59</f>
        <v>1847042.72</v>
      </c>
      <c r="L15" s="28">
        <v>0</v>
      </c>
      <c r="M15" s="28">
        <v>0</v>
      </c>
      <c r="N15" s="28">
        <f>SUM(B15:M15)</f>
        <v>17140572.179999996</v>
      </c>
    </row>
    <row r="16" spans="1:15" ht="17.25" customHeight="1" x14ac:dyDescent="0.25">
      <c r="A16" s="3" t="s">
        <v>7</v>
      </c>
      <c r="B16" s="29">
        <f>B17+B18+B19+B20+B21+B22+B23+B24</f>
        <v>2041119.06</v>
      </c>
      <c r="C16" s="29">
        <f t="shared" ref="C16:M16" si="1">C17+C18+C19+C20+C21+C22+C23+C24</f>
        <v>4191962.75</v>
      </c>
      <c r="D16" s="29">
        <f t="shared" si="1"/>
        <v>2944059.5700000003</v>
      </c>
      <c r="E16" s="29">
        <f t="shared" si="1"/>
        <v>4926319.68</v>
      </c>
      <c r="F16" s="29">
        <f t="shared" si="1"/>
        <v>8370800.0499999998</v>
      </c>
      <c r="G16" s="29">
        <f t="shared" si="1"/>
        <v>4676862.4399999995</v>
      </c>
      <c r="H16" s="29">
        <f>H17+H18+H19+H20+H21+H22+H23+H24+H25</f>
        <v>12521024.200000001</v>
      </c>
      <c r="I16" s="29">
        <f>I17+I18+I19+I20+I21+I22+I23+I24+I25</f>
        <v>5482952.0300000003</v>
      </c>
      <c r="J16" s="29">
        <f t="shared" si="1"/>
        <v>4785180.54</v>
      </c>
      <c r="K16" s="29">
        <f t="shared" si="1"/>
        <v>7870666.4100000011</v>
      </c>
      <c r="L16" s="29">
        <f>L17+L18+L19+L20+L21+L22+L23+L24</f>
        <v>0</v>
      </c>
      <c r="M16" s="29">
        <f t="shared" si="1"/>
        <v>0</v>
      </c>
      <c r="N16" s="29">
        <f>N17+N18+N19+N20+N21+N22+N23+N24+N25</f>
        <v>57810946.729999997</v>
      </c>
    </row>
    <row r="17" spans="1:14" ht="17.25" customHeight="1" x14ac:dyDescent="0.25">
      <c r="A17" s="5" t="s">
        <v>8</v>
      </c>
      <c r="B17" s="28">
        <v>2041119.06</v>
      </c>
      <c r="C17" s="28">
        <v>3116656.54</v>
      </c>
      <c r="D17" s="28">
        <v>1891733.72</v>
      </c>
      <c r="E17" s="28">
        <v>1888613.25</v>
      </c>
      <c r="F17" s="28">
        <v>2315450.12</v>
      </c>
      <c r="G17" s="28">
        <f>802287.11+311634.37+927887.24+609180.71</f>
        <v>2650989.4299999997</v>
      </c>
      <c r="H17" s="28">
        <v>2786366.52</v>
      </c>
      <c r="I17" s="28">
        <v>2487415.25</v>
      </c>
      <c r="J17" s="28">
        <v>2238722.17</v>
      </c>
      <c r="K17" s="28">
        <f>619588.84+242198.7+922726.27+89848.09+11475</f>
        <v>1885836.9000000001</v>
      </c>
      <c r="L17" s="28">
        <v>0</v>
      </c>
      <c r="M17" s="28">
        <v>0</v>
      </c>
      <c r="N17" s="28">
        <f>SUM(B17:M17)</f>
        <v>23302902.960000001</v>
      </c>
    </row>
    <row r="18" spans="1:14" ht="17.25" customHeight="1" x14ac:dyDescent="0.25">
      <c r="A18" s="5" t="s">
        <v>9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226114</v>
      </c>
      <c r="I18" s="28">
        <v>0</v>
      </c>
      <c r="J18" s="28">
        <v>0</v>
      </c>
      <c r="K18" s="28">
        <v>18277.740000000002</v>
      </c>
      <c r="L18" s="28">
        <v>0</v>
      </c>
      <c r="M18" s="28">
        <v>0</v>
      </c>
      <c r="N18" s="28">
        <f t="shared" ref="N18:N23" si="2">SUM(B18:M18)</f>
        <v>244391.74</v>
      </c>
    </row>
    <row r="19" spans="1:14" ht="17.25" customHeight="1" x14ac:dyDescent="0.25">
      <c r="A19" s="5" t="s">
        <v>10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2470380</v>
      </c>
      <c r="I19" s="28">
        <v>0</v>
      </c>
      <c r="J19" s="28">
        <v>0</v>
      </c>
      <c r="K19" s="28">
        <v>2887185</v>
      </c>
      <c r="L19" s="28">
        <v>0</v>
      </c>
      <c r="M19" s="28">
        <v>0</v>
      </c>
      <c r="N19" s="28">
        <f t="shared" si="2"/>
        <v>5357565</v>
      </c>
    </row>
    <row r="20" spans="1:14" ht="17.25" customHeight="1" x14ac:dyDescent="0.25">
      <c r="A20" s="5" t="s">
        <v>11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489184.37</v>
      </c>
      <c r="I20" s="28">
        <v>0</v>
      </c>
      <c r="J20" s="28">
        <v>0</v>
      </c>
      <c r="K20" s="28">
        <f>40312.87+14010.87+5290</f>
        <v>59613.740000000005</v>
      </c>
      <c r="L20" s="28">
        <v>0</v>
      </c>
      <c r="M20" s="28">
        <v>0</v>
      </c>
      <c r="N20" s="28">
        <f t="shared" si="2"/>
        <v>548798.11</v>
      </c>
    </row>
    <row r="21" spans="1:14" ht="17.25" customHeight="1" x14ac:dyDescent="0.25">
      <c r="A21" s="5" t="s">
        <v>12</v>
      </c>
      <c r="B21" s="28">
        <v>0</v>
      </c>
      <c r="C21" s="28">
        <v>0</v>
      </c>
      <c r="D21" s="28">
        <v>0</v>
      </c>
      <c r="E21" s="28">
        <v>0</v>
      </c>
      <c r="F21" s="28">
        <v>5022189.21</v>
      </c>
      <c r="G21" s="28">
        <v>1004437.84</v>
      </c>
      <c r="H21" s="28">
        <v>1402242.28</v>
      </c>
      <c r="I21" s="28">
        <v>1670639.44</v>
      </c>
      <c r="J21" s="28">
        <v>1799166.94</v>
      </c>
      <c r="K21" s="28">
        <f>1447484.44+3428.58+2562.63</f>
        <v>1453475.65</v>
      </c>
      <c r="L21" s="28">
        <v>0</v>
      </c>
      <c r="M21" s="28">
        <v>0</v>
      </c>
      <c r="N21" s="28">
        <f t="shared" si="2"/>
        <v>12352151.359999999</v>
      </c>
    </row>
    <row r="22" spans="1:14" ht="17.25" customHeight="1" x14ac:dyDescent="0.25">
      <c r="A22" s="5" t="s">
        <v>13</v>
      </c>
      <c r="B22" s="28">
        <v>0</v>
      </c>
      <c r="C22" s="28">
        <v>1075306.21</v>
      </c>
      <c r="D22" s="28">
        <v>1052325.8500000001</v>
      </c>
      <c r="E22" s="28">
        <v>1337706.43</v>
      </c>
      <c r="F22" s="28">
        <v>1033160.72</v>
      </c>
      <c r="G22" s="28">
        <v>1021435.17</v>
      </c>
      <c r="H22" s="28">
        <v>1400717.15</v>
      </c>
      <c r="I22" s="28">
        <v>1324897.3400000001</v>
      </c>
      <c r="J22" s="28">
        <v>747291.43</v>
      </c>
      <c r="K22" s="28">
        <f>9977.5+1029579.52</f>
        <v>1039557.02</v>
      </c>
      <c r="L22" s="28">
        <v>0</v>
      </c>
      <c r="M22" s="28">
        <v>0</v>
      </c>
      <c r="N22" s="28">
        <f t="shared" si="2"/>
        <v>10032397.319999998</v>
      </c>
    </row>
    <row r="23" spans="1:14" ht="27" customHeight="1" x14ac:dyDescent="0.25">
      <c r="A23" s="33" t="s">
        <v>14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1887334.14</v>
      </c>
      <c r="I23" s="28">
        <v>0</v>
      </c>
      <c r="J23" s="28">
        <v>0</v>
      </c>
      <c r="K23" s="28">
        <f>163.5+8688.95+35514.21+29719</f>
        <v>74085.66</v>
      </c>
      <c r="L23" s="28">
        <v>0</v>
      </c>
      <c r="M23" s="28">
        <v>0</v>
      </c>
      <c r="N23" s="28">
        <f t="shared" si="2"/>
        <v>1961419.7999999998</v>
      </c>
    </row>
    <row r="24" spans="1:14" ht="17.25" customHeight="1" x14ac:dyDescent="0.25">
      <c r="A24" s="5" t="s">
        <v>15</v>
      </c>
      <c r="B24" s="28">
        <v>0</v>
      </c>
      <c r="C24" s="28">
        <v>0</v>
      </c>
      <c r="D24" s="28">
        <v>0</v>
      </c>
      <c r="E24" s="28">
        <v>1700000</v>
      </c>
      <c r="F24" s="28">
        <v>0</v>
      </c>
      <c r="G24" s="28">
        <v>0</v>
      </c>
      <c r="H24" s="28">
        <v>1072051.6200000001</v>
      </c>
      <c r="I24" s="28">
        <v>0</v>
      </c>
      <c r="J24" s="28">
        <v>0</v>
      </c>
      <c r="K24" s="28">
        <f>8194.7+91800+250000+16500+86140</f>
        <v>452634.7</v>
      </c>
      <c r="L24" s="28">
        <v>0</v>
      </c>
      <c r="M24" s="28">
        <v>0</v>
      </c>
      <c r="N24" s="28">
        <f>SUM(B24:M24)</f>
        <v>3224686.3200000003</v>
      </c>
    </row>
    <row r="25" spans="1:14" ht="17.25" customHeight="1" x14ac:dyDescent="0.25">
      <c r="A25" s="5" t="s">
        <v>16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786634.12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f>SUM(B25:M25)</f>
        <v>786634.12</v>
      </c>
    </row>
    <row r="26" spans="1:14" ht="17.25" customHeight="1" x14ac:dyDescent="0.25">
      <c r="A26" s="3" t="s">
        <v>17</v>
      </c>
      <c r="B26" s="29">
        <f>B27+B28+B29+B30+B31+B32+B33</f>
        <v>479407</v>
      </c>
      <c r="C26" s="29">
        <f>C27+C28+C29+C30+C31+C32+C33</f>
        <v>557408</v>
      </c>
      <c r="D26" s="29">
        <f>D27+D28+D29+D30+D31+D32</f>
        <v>0</v>
      </c>
      <c r="E26" s="29">
        <f>E27+E28+E29+E30+E31+E32+E35</f>
        <v>57087.61</v>
      </c>
      <c r="F26" s="29">
        <f>F27+F28+F29+F30+F31+F32</f>
        <v>0</v>
      </c>
      <c r="G26" s="29">
        <f>G27+G28+G29+G30+G31+G32</f>
        <v>0</v>
      </c>
      <c r="H26" s="29">
        <f>H27+H28+H29+H30+H31+H32+H33+H35</f>
        <v>4917463.04</v>
      </c>
      <c r="I26" s="29">
        <f>I27+I28+I29+I30+I31+I32+I33+I35</f>
        <v>0</v>
      </c>
      <c r="J26" s="29">
        <f>J27+J28+J29+J30+J31+J32</f>
        <v>0</v>
      </c>
      <c r="K26" s="29">
        <f>K27+K28+K29+K30+K31+K32+K33+K35</f>
        <v>2630165.6699999995</v>
      </c>
      <c r="L26" s="29">
        <f>L27+L28+L29+L30+L31+L32+L33+L35</f>
        <v>0</v>
      </c>
      <c r="M26" s="29">
        <f>M27+M28+M29+M30+M31+M32+M33+M35</f>
        <v>0</v>
      </c>
      <c r="N26" s="29">
        <f>N27+N28+N29+N30+N31+N32+N33+N35</f>
        <v>8641531.3200000003</v>
      </c>
    </row>
    <row r="27" spans="1:14" ht="17.25" customHeight="1" x14ac:dyDescent="0.25">
      <c r="A27" s="5" t="s">
        <v>18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365879.9</v>
      </c>
      <c r="I27" s="28">
        <v>0</v>
      </c>
      <c r="J27" s="28">
        <v>0</v>
      </c>
      <c r="K27" s="28">
        <f>89796.33+134435.01+100</f>
        <v>224331.34000000003</v>
      </c>
      <c r="L27" s="28">
        <v>0</v>
      </c>
      <c r="M27" s="28">
        <v>0</v>
      </c>
      <c r="N27" s="28">
        <f t="shared" ref="N27:N35" si="3">SUM(B27:M27)</f>
        <v>590211.24</v>
      </c>
    </row>
    <row r="28" spans="1:14" ht="17.25" customHeight="1" x14ac:dyDescent="0.25">
      <c r="A28" s="5" t="s">
        <v>19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649</v>
      </c>
      <c r="L28" s="28">
        <v>0</v>
      </c>
      <c r="M28" s="28">
        <v>0</v>
      </c>
      <c r="N28" s="28">
        <f t="shared" si="3"/>
        <v>649</v>
      </c>
    </row>
    <row r="29" spans="1:14" ht="17.25" customHeight="1" x14ac:dyDescent="0.25">
      <c r="A29" s="5" t="s">
        <v>20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619417.93999999994</v>
      </c>
      <c r="I29" s="28">
        <v>0</v>
      </c>
      <c r="J29" s="28">
        <v>0</v>
      </c>
      <c r="K29" s="28">
        <f>157084.55+44995.9</f>
        <v>202080.44999999998</v>
      </c>
      <c r="L29" s="28">
        <v>0</v>
      </c>
      <c r="M29" s="28">
        <v>0</v>
      </c>
      <c r="N29" s="28">
        <f t="shared" si="3"/>
        <v>821498.3899999999</v>
      </c>
    </row>
    <row r="30" spans="1:14" ht="17.25" customHeight="1" x14ac:dyDescent="0.25">
      <c r="A30" s="5" t="s">
        <v>21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f t="shared" si="3"/>
        <v>0</v>
      </c>
    </row>
    <row r="31" spans="1:14" ht="17.25" customHeight="1" x14ac:dyDescent="0.25">
      <c r="A31" s="5" t="s">
        <v>22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162326.94</v>
      </c>
      <c r="I31" s="28">
        <v>0</v>
      </c>
      <c r="J31" s="28">
        <v>0</v>
      </c>
      <c r="K31" s="28">
        <v>3606.73</v>
      </c>
      <c r="L31" s="28">
        <v>0</v>
      </c>
      <c r="M31" s="28">
        <v>0</v>
      </c>
      <c r="N31" s="28">
        <f t="shared" si="3"/>
        <v>165933.67000000001</v>
      </c>
    </row>
    <row r="32" spans="1:14" ht="17.25" customHeight="1" x14ac:dyDescent="0.25">
      <c r="A32" s="5" t="s">
        <v>23</v>
      </c>
      <c r="B32" s="28">
        <v>0</v>
      </c>
      <c r="C32" s="28">
        <v>0</v>
      </c>
      <c r="D32" s="28">
        <v>0</v>
      </c>
      <c r="E32" s="28">
        <v>52122.96</v>
      </c>
      <c r="F32" s="28">
        <v>0</v>
      </c>
      <c r="G32" s="28">
        <v>0</v>
      </c>
      <c r="H32" s="28">
        <v>45228.04</v>
      </c>
      <c r="I32" s="28">
        <v>0</v>
      </c>
      <c r="J32" s="28">
        <v>0</v>
      </c>
      <c r="K32" s="28">
        <f>478.5+300+130+240+7986.79+2450</f>
        <v>11585.29</v>
      </c>
      <c r="L32" s="28">
        <v>0</v>
      </c>
      <c r="M32" s="28">
        <v>0</v>
      </c>
      <c r="N32" s="28">
        <f t="shared" si="3"/>
        <v>108936.29000000001</v>
      </c>
    </row>
    <row r="33" spans="1:14" ht="17.25" customHeight="1" x14ac:dyDescent="0.25">
      <c r="A33" s="5" t="s">
        <v>24</v>
      </c>
      <c r="B33" s="28">
        <v>479407</v>
      </c>
      <c r="C33" s="28">
        <v>557408</v>
      </c>
      <c r="D33" s="28">
        <v>0</v>
      </c>
      <c r="E33" s="28">
        <v>0</v>
      </c>
      <c r="F33" s="28">
        <v>0</v>
      </c>
      <c r="G33" s="28">
        <v>0</v>
      </c>
      <c r="H33" s="28">
        <v>2877756.64</v>
      </c>
      <c r="I33" s="28">
        <v>0</v>
      </c>
      <c r="J33" s="28">
        <v>0</v>
      </c>
      <c r="K33" s="28">
        <f>1986569.8+5399.93+1000+975+9629.45+9554.4</f>
        <v>2013128.5799999998</v>
      </c>
      <c r="L33" s="28">
        <v>0</v>
      </c>
      <c r="M33" s="28">
        <v>0</v>
      </c>
      <c r="N33" s="28">
        <f t="shared" si="3"/>
        <v>5927700.2199999997</v>
      </c>
    </row>
    <row r="34" spans="1:14" ht="17.25" customHeight="1" x14ac:dyDescent="0.25">
      <c r="A34" s="5" t="s">
        <v>25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ht="17.25" customHeight="1" x14ac:dyDescent="0.25">
      <c r="A35" s="5" t="s">
        <v>26</v>
      </c>
      <c r="B35" s="28">
        <v>0</v>
      </c>
      <c r="C35" s="28">
        <v>0</v>
      </c>
      <c r="D35" s="28">
        <v>0</v>
      </c>
      <c r="E35" s="28">
        <f>682.17+4282.48</f>
        <v>4964.6499999999996</v>
      </c>
      <c r="F35" s="28">
        <v>0</v>
      </c>
      <c r="G35" s="28">
        <v>0</v>
      </c>
      <c r="H35" s="28">
        <v>846853.58</v>
      </c>
      <c r="I35" s="28">
        <v>0</v>
      </c>
      <c r="J35" s="28">
        <v>0</v>
      </c>
      <c r="K35" s="28">
        <f>30282.43+99558.48+295+1290+12579.93+177.5+30600.94</f>
        <v>174784.28</v>
      </c>
      <c r="L35" s="28">
        <v>0</v>
      </c>
      <c r="M35" s="28">
        <v>0</v>
      </c>
      <c r="N35" s="28">
        <f t="shared" si="3"/>
        <v>1026602.51</v>
      </c>
    </row>
    <row r="36" spans="1:14" ht="17.25" customHeight="1" x14ac:dyDescent="0.25">
      <c r="A36" s="3" t="s">
        <v>27</v>
      </c>
      <c r="B36" s="29">
        <f t="shared" ref="B36:N36" si="4">B37+B38+B39+B40+B41+B42</f>
        <v>0</v>
      </c>
      <c r="C36" s="29">
        <f t="shared" si="4"/>
        <v>0</v>
      </c>
      <c r="D36" s="29">
        <f t="shared" si="4"/>
        <v>0</v>
      </c>
      <c r="E36" s="29">
        <f t="shared" si="4"/>
        <v>0</v>
      </c>
      <c r="F36" s="29">
        <f t="shared" si="4"/>
        <v>0</v>
      </c>
      <c r="G36" s="29">
        <f t="shared" si="4"/>
        <v>0</v>
      </c>
      <c r="H36" s="29">
        <f t="shared" si="4"/>
        <v>0</v>
      </c>
      <c r="I36" s="29">
        <f t="shared" si="4"/>
        <v>0</v>
      </c>
      <c r="J36" s="29">
        <f t="shared" si="4"/>
        <v>0</v>
      </c>
      <c r="K36" s="29">
        <f t="shared" si="4"/>
        <v>0</v>
      </c>
      <c r="L36" s="29">
        <f t="shared" si="4"/>
        <v>0</v>
      </c>
      <c r="M36" s="29">
        <f t="shared" si="4"/>
        <v>0</v>
      </c>
      <c r="N36" s="29">
        <f t="shared" si="4"/>
        <v>0</v>
      </c>
    </row>
    <row r="37" spans="1:14" ht="17.25" customHeight="1" x14ac:dyDescent="0.25">
      <c r="A37" s="5" t="s">
        <v>28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</row>
    <row r="38" spans="1:14" ht="17.25" customHeight="1" x14ac:dyDescent="0.25">
      <c r="A38" s="5" t="s">
        <v>29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</row>
    <row r="39" spans="1:14" ht="17.25" customHeight="1" x14ac:dyDescent="0.25">
      <c r="A39" s="5" t="s">
        <v>30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</row>
    <row r="40" spans="1:14" ht="17.25" customHeight="1" x14ac:dyDescent="0.25">
      <c r="A40" s="5" t="s">
        <v>31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</row>
    <row r="41" spans="1:14" ht="17.25" customHeight="1" x14ac:dyDescent="0.25">
      <c r="A41" s="5" t="s">
        <v>32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</row>
    <row r="42" spans="1:14" ht="17.25" customHeight="1" x14ac:dyDescent="0.25">
      <c r="A42" s="5" t="s">
        <v>33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</row>
    <row r="43" spans="1:14" ht="17.25" customHeight="1" x14ac:dyDescent="0.25">
      <c r="A43" s="5" t="s">
        <v>34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</row>
    <row r="44" spans="1:14" ht="17.25" customHeight="1" x14ac:dyDescent="0.25">
      <c r="A44" s="5" t="s">
        <v>35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</row>
    <row r="45" spans="1:14" ht="17.25" customHeight="1" x14ac:dyDescent="0.25">
      <c r="A45" s="3" t="s">
        <v>36</v>
      </c>
      <c r="B45" s="29">
        <f t="shared" ref="B45:N45" si="5">B46</f>
        <v>0</v>
      </c>
      <c r="C45" s="29">
        <f t="shared" si="5"/>
        <v>0</v>
      </c>
      <c r="D45" s="29">
        <f t="shared" si="5"/>
        <v>0</v>
      </c>
      <c r="E45" s="29">
        <f t="shared" si="5"/>
        <v>0</v>
      </c>
      <c r="F45" s="29">
        <f t="shared" si="5"/>
        <v>0</v>
      </c>
      <c r="G45" s="29">
        <f t="shared" si="5"/>
        <v>0</v>
      </c>
      <c r="H45" s="29">
        <f t="shared" si="5"/>
        <v>0</v>
      </c>
      <c r="I45" s="29">
        <f t="shared" si="5"/>
        <v>0</v>
      </c>
      <c r="J45" s="29">
        <f t="shared" si="5"/>
        <v>0</v>
      </c>
      <c r="K45" s="29">
        <f t="shared" si="5"/>
        <v>0</v>
      </c>
      <c r="L45" s="29">
        <f t="shared" si="5"/>
        <v>0</v>
      </c>
      <c r="M45" s="29">
        <f t="shared" si="5"/>
        <v>0</v>
      </c>
      <c r="N45" s="29">
        <f t="shared" si="5"/>
        <v>0</v>
      </c>
    </row>
    <row r="46" spans="1:14" ht="17.25" customHeight="1" x14ac:dyDescent="0.25">
      <c r="A46" s="5" t="s">
        <v>37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</row>
    <row r="47" spans="1:14" ht="17.25" customHeight="1" x14ac:dyDescent="0.25">
      <c r="A47" s="5" t="s">
        <v>38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</row>
    <row r="48" spans="1:14" ht="17.25" customHeight="1" x14ac:dyDescent="0.25">
      <c r="A48" s="5" t="s">
        <v>39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</row>
    <row r="49" spans="1:14" ht="17.25" customHeight="1" x14ac:dyDescent="0.25">
      <c r="A49" s="5" t="s">
        <v>40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</row>
    <row r="50" spans="1:14" ht="17.25" customHeight="1" x14ac:dyDescent="0.25">
      <c r="A50" s="5" t="s">
        <v>41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17.25" customHeight="1" x14ac:dyDescent="0.25">
      <c r="A51" s="5" t="s">
        <v>42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</row>
    <row r="52" spans="1:14" ht="17.25" customHeight="1" x14ac:dyDescent="0.25">
      <c r="A52" s="3" t="s">
        <v>43</v>
      </c>
      <c r="B52" s="29">
        <f>B53</f>
        <v>0</v>
      </c>
      <c r="C52" s="29">
        <f>C53</f>
        <v>110353.60000000001</v>
      </c>
      <c r="D52" s="29">
        <f>D53</f>
        <v>1055978.04</v>
      </c>
      <c r="E52" s="29">
        <f>E53+E57</f>
        <v>48385.61</v>
      </c>
      <c r="F52" s="29">
        <f>F54</f>
        <v>0</v>
      </c>
      <c r="G52" s="29">
        <f>G54</f>
        <v>0</v>
      </c>
      <c r="H52" s="29">
        <f>H53+H57</f>
        <v>84290.02</v>
      </c>
      <c r="I52" s="29">
        <f>I53</f>
        <v>31258.2</v>
      </c>
      <c r="J52" s="29">
        <f>J53</f>
        <v>296715.55</v>
      </c>
      <c r="K52" s="29">
        <f>K53</f>
        <v>193914.53</v>
      </c>
      <c r="L52" s="29">
        <f>L53</f>
        <v>0</v>
      </c>
      <c r="M52" s="29">
        <f>M53+M54</f>
        <v>0</v>
      </c>
      <c r="N52" s="29">
        <f>SUM(B52:M52)</f>
        <v>1820895.5500000003</v>
      </c>
    </row>
    <row r="53" spans="1:14" ht="17.25" customHeight="1" x14ac:dyDescent="0.25">
      <c r="A53" s="5" t="s">
        <v>44</v>
      </c>
      <c r="B53" s="28">
        <v>0</v>
      </c>
      <c r="C53" s="28">
        <v>110353.60000000001</v>
      </c>
      <c r="D53" s="28">
        <v>1055978.04</v>
      </c>
      <c r="E53" s="28">
        <v>0</v>
      </c>
      <c r="F53" s="28">
        <v>0</v>
      </c>
      <c r="G53" s="28">
        <v>0</v>
      </c>
      <c r="H53" s="28">
        <v>0</v>
      </c>
      <c r="I53" s="28">
        <v>31258.2</v>
      </c>
      <c r="J53" s="28">
        <v>296715.55</v>
      </c>
      <c r="K53" s="28">
        <v>193914.53</v>
      </c>
      <c r="L53" s="28">
        <v>0</v>
      </c>
      <c r="M53" s="28">
        <v>0</v>
      </c>
      <c r="N53" s="28">
        <f>SUM(B53:M53)</f>
        <v>1688219.9200000002</v>
      </c>
    </row>
    <row r="54" spans="1:14" ht="17.25" customHeight="1" x14ac:dyDescent="0.25">
      <c r="A54" s="5" t="s">
        <v>45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f>SUM(B54:M54)</f>
        <v>0</v>
      </c>
    </row>
    <row r="55" spans="1:14" ht="17.25" customHeight="1" x14ac:dyDescent="0.25">
      <c r="A55" s="5" t="s">
        <v>46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</row>
    <row r="56" spans="1:14" ht="17.25" customHeight="1" x14ac:dyDescent="0.25">
      <c r="A56" s="5" t="s">
        <v>47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f>SUM(B56:M56)</f>
        <v>0</v>
      </c>
    </row>
    <row r="57" spans="1:14" ht="17.25" customHeight="1" x14ac:dyDescent="0.25">
      <c r="A57" s="5" t="s">
        <v>48</v>
      </c>
      <c r="B57" s="28">
        <v>0</v>
      </c>
      <c r="C57" s="28">
        <v>0</v>
      </c>
      <c r="D57" s="28">
        <v>0</v>
      </c>
      <c r="E57" s="28">
        <v>48385.61</v>
      </c>
      <c r="F57" s="28">
        <v>0</v>
      </c>
      <c r="G57" s="28">
        <v>0</v>
      </c>
      <c r="H57" s="28">
        <v>84290.02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f>SUM(B57:M57)</f>
        <v>132675.63</v>
      </c>
    </row>
    <row r="58" spans="1:14" ht="17.25" customHeight="1" x14ac:dyDescent="0.25">
      <c r="A58" s="5" t="s">
        <v>49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</row>
    <row r="59" spans="1:14" ht="17.25" customHeight="1" x14ac:dyDescent="0.25">
      <c r="A59" s="5" t="s">
        <v>50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</row>
    <row r="60" spans="1:14" ht="17.25" customHeight="1" x14ac:dyDescent="0.25">
      <c r="A60" s="5" t="s">
        <v>51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</row>
    <row r="61" spans="1:14" ht="17.25" customHeight="1" x14ac:dyDescent="0.25">
      <c r="A61" s="5" t="s">
        <v>52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</row>
    <row r="62" spans="1:14" ht="17.25" customHeight="1" x14ac:dyDescent="0.25">
      <c r="A62" s="3" t="s">
        <v>53</v>
      </c>
      <c r="B62" s="29">
        <f t="shared" ref="B62:N62" si="6">B63</f>
        <v>0</v>
      </c>
      <c r="C62" s="29">
        <f t="shared" si="6"/>
        <v>0</v>
      </c>
      <c r="D62" s="29">
        <f t="shared" si="6"/>
        <v>0</v>
      </c>
      <c r="E62" s="29">
        <f t="shared" si="6"/>
        <v>0</v>
      </c>
      <c r="F62" s="29">
        <f t="shared" si="6"/>
        <v>0</v>
      </c>
      <c r="G62" s="29">
        <f t="shared" si="6"/>
        <v>0</v>
      </c>
      <c r="H62" s="29">
        <f t="shared" si="6"/>
        <v>0</v>
      </c>
      <c r="I62" s="29">
        <f t="shared" si="6"/>
        <v>0</v>
      </c>
      <c r="J62" s="29">
        <f t="shared" si="6"/>
        <v>0</v>
      </c>
      <c r="K62" s="29">
        <f t="shared" si="6"/>
        <v>0</v>
      </c>
      <c r="L62" s="29">
        <f t="shared" si="6"/>
        <v>0</v>
      </c>
      <c r="M62" s="29">
        <f t="shared" si="6"/>
        <v>0</v>
      </c>
      <c r="N62" s="29">
        <f t="shared" si="6"/>
        <v>0</v>
      </c>
    </row>
    <row r="63" spans="1:14" ht="17.25" customHeight="1" x14ac:dyDescent="0.25">
      <c r="A63" s="5" t="s">
        <v>54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</row>
    <row r="64" spans="1:14" ht="17.25" customHeight="1" x14ac:dyDescent="0.25">
      <c r="A64" s="5" t="s">
        <v>55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</row>
    <row r="65" spans="1:14" ht="17.25" customHeight="1" x14ac:dyDescent="0.25">
      <c r="A65" s="5" t="s">
        <v>56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</row>
    <row r="66" spans="1:14" ht="17.25" customHeight="1" x14ac:dyDescent="0.25">
      <c r="A66" s="5" t="s">
        <v>57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</row>
    <row r="67" spans="1:14" ht="17.25" customHeight="1" x14ac:dyDescent="0.25">
      <c r="A67" s="3" t="s">
        <v>58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</row>
    <row r="68" spans="1:14" ht="17.25" customHeight="1" x14ac:dyDescent="0.25">
      <c r="A68" s="5" t="s">
        <v>59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1:14" ht="17.25" customHeight="1" x14ac:dyDescent="0.25">
      <c r="A69" s="5" t="s">
        <v>60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</row>
    <row r="70" spans="1:14" ht="17.25" customHeight="1" x14ac:dyDescent="0.25">
      <c r="A70" s="3" t="s">
        <v>61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</row>
    <row r="71" spans="1:14" ht="17.25" customHeight="1" x14ac:dyDescent="0.25">
      <c r="A71" s="5" t="s">
        <v>62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</row>
    <row r="72" spans="1:14" ht="17.25" customHeight="1" x14ac:dyDescent="0.25">
      <c r="A72" s="5" t="s">
        <v>63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</row>
    <row r="73" spans="1:14" ht="17.25" customHeight="1" x14ac:dyDescent="0.25">
      <c r="A73" s="5" t="s">
        <v>64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</row>
    <row r="74" spans="1:14" ht="17.25" customHeight="1" x14ac:dyDescent="0.25">
      <c r="A74" s="1" t="s">
        <v>67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</row>
    <row r="75" spans="1:14" ht="17.25" customHeight="1" x14ac:dyDescent="0.25">
      <c r="A75" s="3" t="s">
        <v>68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</row>
    <row r="76" spans="1:14" ht="17.25" customHeight="1" x14ac:dyDescent="0.25">
      <c r="A76" s="5" t="s">
        <v>69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</row>
    <row r="77" spans="1:14" ht="17.25" customHeight="1" x14ac:dyDescent="0.25">
      <c r="A77" s="5" t="s">
        <v>70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</row>
    <row r="78" spans="1:14" ht="17.25" customHeight="1" x14ac:dyDescent="0.25">
      <c r="A78" s="3" t="s">
        <v>71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</row>
    <row r="79" spans="1:14" ht="17.25" customHeight="1" x14ac:dyDescent="0.25">
      <c r="A79" s="5" t="s">
        <v>72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</row>
    <row r="80" spans="1:14" ht="17.25" customHeight="1" x14ac:dyDescent="0.25">
      <c r="A80" s="5" t="s">
        <v>73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</row>
    <row r="81" spans="1:14" ht="17.25" customHeight="1" x14ac:dyDescent="0.25">
      <c r="A81" s="3" t="s">
        <v>74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</row>
    <row r="82" spans="1:14" ht="17.25" customHeight="1" x14ac:dyDescent="0.25">
      <c r="A82" s="5" t="s">
        <v>75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</row>
    <row r="83" spans="1:14" x14ac:dyDescent="0.25">
      <c r="A83" s="9" t="s">
        <v>65</v>
      </c>
      <c r="B83" s="30">
        <f>B10+B16+B24+B52+B26</f>
        <v>12839120.190000001</v>
      </c>
      <c r="C83" s="30">
        <f>C52+C16+C10+C26</f>
        <v>17981613.310000002</v>
      </c>
      <c r="D83" s="30">
        <f>D52+D16+D10+D26</f>
        <v>20495615.040000003</v>
      </c>
      <c r="E83" s="30">
        <f>E52+E16+E10+E26</f>
        <v>19897738.960000001</v>
      </c>
      <c r="F83" s="30">
        <f>F52+F16+F10</f>
        <v>22696219.619999997</v>
      </c>
      <c r="G83" s="30">
        <f>G52+G16+G10</f>
        <v>19111516.259999998</v>
      </c>
      <c r="H83" s="30">
        <f>H52+H16+H10+H26</f>
        <v>31783753.469999999</v>
      </c>
      <c r="I83" s="30">
        <f>I52+I26+I16+I10</f>
        <v>20042446.799999997</v>
      </c>
      <c r="J83" s="30">
        <f>J52+J16+J10</f>
        <v>19654690.93</v>
      </c>
      <c r="K83" s="30">
        <f>K52+K16+K10+K26</f>
        <v>37558637.189999998</v>
      </c>
      <c r="L83" s="30">
        <f>L52+L16+L10+L26</f>
        <v>0</v>
      </c>
      <c r="M83" s="30">
        <f>M10+M16+M52+M26</f>
        <v>0</v>
      </c>
      <c r="N83" s="30">
        <f>N52+N26+N16+N10</f>
        <v>222061351.77000001</v>
      </c>
    </row>
    <row r="85" spans="1:14" ht="18.75" x14ac:dyDescent="0.3">
      <c r="A85" s="35" t="s">
        <v>102</v>
      </c>
      <c r="B85" s="34"/>
      <c r="C85" s="34"/>
      <c r="D85" s="34"/>
      <c r="E85" s="35" t="s">
        <v>103</v>
      </c>
      <c r="G85" s="36"/>
      <c r="I85" s="37"/>
      <c r="J85" s="34"/>
    </row>
    <row r="86" spans="1:14" ht="47.25" customHeight="1" x14ac:dyDescent="0.3">
      <c r="A86" s="38" t="s">
        <v>104</v>
      </c>
      <c r="B86" s="36"/>
      <c r="C86" s="34"/>
      <c r="D86" s="34"/>
      <c r="E86" s="38" t="s">
        <v>104</v>
      </c>
      <c r="G86" s="38"/>
      <c r="H86" s="34"/>
      <c r="I86" s="34"/>
      <c r="J86" s="34"/>
    </row>
    <row r="87" spans="1:14" ht="18.75" x14ac:dyDescent="0.3">
      <c r="A87" s="36" t="s">
        <v>105</v>
      </c>
      <c r="B87" s="36"/>
      <c r="C87" s="34"/>
      <c r="D87" s="34"/>
      <c r="E87" s="36" t="s">
        <v>106</v>
      </c>
      <c r="G87" s="36"/>
      <c r="H87" s="34"/>
      <c r="I87" s="34"/>
      <c r="J87" s="34"/>
    </row>
    <row r="88" spans="1:14" ht="18.75" x14ac:dyDescent="0.3">
      <c r="A88" s="36" t="s">
        <v>107</v>
      </c>
      <c r="B88" s="36"/>
      <c r="C88" s="34"/>
      <c r="D88" s="34"/>
      <c r="E88" s="36" t="s">
        <v>108</v>
      </c>
      <c r="G88" s="36"/>
      <c r="H88" s="34"/>
      <c r="I88" s="34"/>
      <c r="J88" s="34"/>
    </row>
    <row r="89" spans="1:14" ht="18.75" x14ac:dyDescent="0.3">
      <c r="C89" s="34"/>
      <c r="D89" s="34"/>
      <c r="E89" s="34"/>
      <c r="G89" s="34"/>
      <c r="H89" s="34"/>
      <c r="I89" s="34"/>
      <c r="J89" s="34"/>
    </row>
    <row r="90" spans="1:14" ht="18.75" x14ac:dyDescent="0.25">
      <c r="A90" s="36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2022-11-03T16:10:14Z</cp:lastPrinted>
  <dcterms:created xsi:type="dcterms:W3CDTF">2021-07-29T18:58:50Z</dcterms:created>
  <dcterms:modified xsi:type="dcterms:W3CDTF">2022-11-07T17:09:42Z</dcterms:modified>
</cp:coreProperties>
</file>