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Presupuesto\Agosto\"/>
    </mc:Choice>
  </mc:AlternateContent>
  <xr:revisionPtr revIDLastSave="0" documentId="13_ncr:1_{E1BB443A-79C6-47FD-B9DD-8589317D2FF2}" xr6:coauthVersionLast="47" xr6:coauthVersionMax="47" xr10:uidLastSave="{00000000-0000-0000-0000-000000000000}"/>
  <bookViews>
    <workbookView xWindow="14385" yWindow="-15" windowWidth="14430" windowHeight="7815" activeTab="1" xr2:uid="{00000000-000D-0000-FFFF-FFFF00000000}"/>
  </bookViews>
  <sheets>
    <sheet name="Ejecucion" sheetId="4" r:id="rId1"/>
    <sheet name="EJECUCION " sheetId="6" r:id="rId2"/>
  </sheets>
  <externalReferences>
    <externalReference r:id="rId3"/>
  </externalReferences>
  <definedNames>
    <definedName name="_xlnm.Print_Titles" localSheetId="1">'EJECUCION '!$1:$6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33" i="6" l="1"/>
  <c r="N133" i="6"/>
  <c r="M133" i="6"/>
  <c r="L133" i="6"/>
  <c r="K133" i="6"/>
  <c r="J133" i="6"/>
  <c r="I133" i="6"/>
  <c r="H133" i="6"/>
  <c r="G133" i="6"/>
  <c r="F133" i="6"/>
  <c r="E133" i="6"/>
  <c r="D133" i="6"/>
  <c r="C133" i="6"/>
  <c r="P132" i="6"/>
  <c r="Q132" i="6" s="1"/>
  <c r="Q131" i="6"/>
  <c r="P131" i="6"/>
  <c r="Q130" i="6"/>
  <c r="P130" i="6"/>
  <c r="P129" i="6"/>
  <c r="Q129" i="6" s="1"/>
  <c r="P128" i="6"/>
  <c r="Q128" i="6" s="1"/>
  <c r="P127" i="6"/>
  <c r="Q127" i="6" s="1"/>
  <c r="P126" i="6"/>
  <c r="Q126" i="6" s="1"/>
  <c r="Q125" i="6"/>
  <c r="P125" i="6"/>
  <c r="P124" i="6"/>
  <c r="Q124" i="6" s="1"/>
  <c r="O123" i="6"/>
  <c r="N123" i="6"/>
  <c r="M123" i="6"/>
  <c r="L123" i="6"/>
  <c r="K123" i="6"/>
  <c r="J123" i="6"/>
  <c r="I123" i="6"/>
  <c r="H123" i="6"/>
  <c r="G123" i="6"/>
  <c r="F123" i="6"/>
  <c r="E123" i="6"/>
  <c r="D123" i="6"/>
  <c r="C123" i="6"/>
  <c r="P122" i="6"/>
  <c r="Q122" i="6" s="1"/>
  <c r="P121" i="6"/>
  <c r="P123" i="6" s="1"/>
  <c r="O120" i="6"/>
  <c r="N120" i="6"/>
  <c r="M120" i="6"/>
  <c r="L120" i="6"/>
  <c r="K120" i="6"/>
  <c r="J120" i="6"/>
  <c r="I120" i="6"/>
  <c r="H120" i="6"/>
  <c r="G120" i="6"/>
  <c r="F120" i="6"/>
  <c r="E120" i="6"/>
  <c r="D120" i="6"/>
  <c r="C120" i="6"/>
  <c r="Q119" i="6"/>
  <c r="P119" i="6"/>
  <c r="P118" i="6"/>
  <c r="Q118" i="6" s="1"/>
  <c r="P117" i="6"/>
  <c r="Q117" i="6" s="1"/>
  <c r="P116" i="6"/>
  <c r="Q116" i="6" s="1"/>
  <c r="P115" i="6"/>
  <c r="Q115" i="6" s="1"/>
  <c r="Q114" i="6"/>
  <c r="P114" i="6"/>
  <c r="P113" i="6"/>
  <c r="Q113" i="6" s="1"/>
  <c r="Q112" i="6"/>
  <c r="P112" i="6"/>
  <c r="Q111" i="6"/>
  <c r="P111" i="6"/>
  <c r="P110" i="6"/>
  <c r="Q110" i="6" s="1"/>
  <c r="P109" i="6"/>
  <c r="Q109" i="6" s="1"/>
  <c r="P108" i="6"/>
  <c r="Q108" i="6" s="1"/>
  <c r="P107" i="6"/>
  <c r="Q107" i="6" s="1"/>
  <c r="Q106" i="6"/>
  <c r="P106" i="6"/>
  <c r="P105" i="6"/>
  <c r="Q105" i="6" s="1"/>
  <c r="Q104" i="6"/>
  <c r="P104" i="6"/>
  <c r="Q103" i="6"/>
  <c r="P103" i="6"/>
  <c r="P102" i="6"/>
  <c r="Q102" i="6" s="1"/>
  <c r="P101" i="6"/>
  <c r="Q101" i="6" s="1"/>
  <c r="P100" i="6"/>
  <c r="Q100" i="6" s="1"/>
  <c r="P99" i="6"/>
  <c r="Q99" i="6" s="1"/>
  <c r="Q98" i="6"/>
  <c r="P98" i="6"/>
  <c r="P97" i="6"/>
  <c r="Q97" i="6" s="1"/>
  <c r="Q96" i="6"/>
  <c r="P96" i="6"/>
  <c r="Q95" i="6"/>
  <c r="P95" i="6"/>
  <c r="P94" i="6"/>
  <c r="Q94" i="6" s="1"/>
  <c r="P93" i="6"/>
  <c r="Q93" i="6" s="1"/>
  <c r="P92" i="6"/>
  <c r="Q92" i="6" s="1"/>
  <c r="P91" i="6"/>
  <c r="Q91" i="6" s="1"/>
  <c r="Q90" i="6"/>
  <c r="P90" i="6"/>
  <c r="P89" i="6"/>
  <c r="Q89" i="6" s="1"/>
  <c r="Q88" i="6"/>
  <c r="P88" i="6"/>
  <c r="Q87" i="6"/>
  <c r="P87" i="6"/>
  <c r="P86" i="6"/>
  <c r="Q86" i="6" s="1"/>
  <c r="P85" i="6"/>
  <c r="Q85" i="6" s="1"/>
  <c r="P84" i="6"/>
  <c r="Q84" i="6" s="1"/>
  <c r="P83" i="6"/>
  <c r="Q83" i="6" s="1"/>
  <c r="Q82" i="6"/>
  <c r="P82" i="6"/>
  <c r="P81" i="6"/>
  <c r="Q81" i="6" s="1"/>
  <c r="Q80" i="6"/>
  <c r="P80" i="6"/>
  <c r="Q79" i="6"/>
  <c r="P79" i="6"/>
  <c r="P78" i="6"/>
  <c r="Q78" i="6" s="1"/>
  <c r="P77" i="6"/>
  <c r="Q77" i="6" s="1"/>
  <c r="P76" i="6"/>
  <c r="Q76" i="6" s="1"/>
  <c r="P75" i="6"/>
  <c r="Q75" i="6" s="1"/>
  <c r="Q74" i="6"/>
  <c r="P74" i="6"/>
  <c r="P73" i="6"/>
  <c r="Q73" i="6" s="1"/>
  <c r="Q72" i="6"/>
  <c r="P72" i="6"/>
  <c r="Q71" i="6"/>
  <c r="P71" i="6"/>
  <c r="P70" i="6"/>
  <c r="Q70" i="6" s="1"/>
  <c r="P69" i="6"/>
  <c r="P120" i="6" s="1"/>
  <c r="O68" i="6"/>
  <c r="O134" i="6" s="1"/>
  <c r="N68" i="6"/>
  <c r="N134" i="6" s="1"/>
  <c r="M68" i="6"/>
  <c r="M134" i="6" s="1"/>
  <c r="L68" i="6"/>
  <c r="C68" i="6"/>
  <c r="C134" i="6" s="1"/>
  <c r="Q67" i="6"/>
  <c r="P67" i="6"/>
  <c r="Q66" i="6"/>
  <c r="P66" i="6"/>
  <c r="P65" i="6"/>
  <c r="Q65" i="6" s="1"/>
  <c r="P64" i="6"/>
  <c r="Q64" i="6" s="1"/>
  <c r="P63" i="6"/>
  <c r="Q63" i="6" s="1"/>
  <c r="P62" i="6"/>
  <c r="Q62" i="6" s="1"/>
  <c r="P61" i="6"/>
  <c r="Q61" i="6" s="1"/>
  <c r="P60" i="6"/>
  <c r="Q60" i="6" s="1"/>
  <c r="Q59" i="6"/>
  <c r="P59" i="6"/>
  <c r="Q58" i="6"/>
  <c r="P58" i="6"/>
  <c r="P57" i="6"/>
  <c r="Q57" i="6" s="1"/>
  <c r="P56" i="6"/>
  <c r="Q56" i="6" s="1"/>
  <c r="P55" i="6"/>
  <c r="Q55" i="6" s="1"/>
  <c r="P54" i="6"/>
  <c r="Q54" i="6" s="1"/>
  <c r="P53" i="6"/>
  <c r="Q53" i="6" s="1"/>
  <c r="P52" i="6"/>
  <c r="Q52" i="6" s="1"/>
  <c r="Q51" i="6"/>
  <c r="P51" i="6"/>
  <c r="Q50" i="6"/>
  <c r="P50" i="6"/>
  <c r="P49" i="6"/>
  <c r="Q49" i="6" s="1"/>
  <c r="P48" i="6"/>
  <c r="Q48" i="6" s="1"/>
  <c r="P47" i="6"/>
  <c r="Q47" i="6" s="1"/>
  <c r="P46" i="6"/>
  <c r="Q46" i="6" s="1"/>
  <c r="P45" i="6"/>
  <c r="Q45" i="6" s="1"/>
  <c r="P44" i="6"/>
  <c r="Q44" i="6" s="1"/>
  <c r="Q43" i="6"/>
  <c r="P43" i="6"/>
  <c r="Q42" i="6"/>
  <c r="P42" i="6"/>
  <c r="P41" i="6"/>
  <c r="Q41" i="6" s="1"/>
  <c r="K41" i="6"/>
  <c r="J41" i="6"/>
  <c r="H41" i="6"/>
  <c r="G41" i="6"/>
  <c r="F41" i="6"/>
  <c r="E41" i="6"/>
  <c r="P40" i="6"/>
  <c r="Q40" i="6" s="1"/>
  <c r="P39" i="6"/>
  <c r="Q39" i="6" s="1"/>
  <c r="Q38" i="6"/>
  <c r="P38" i="6"/>
  <c r="Q37" i="6"/>
  <c r="P37" i="6"/>
  <c r="P36" i="6"/>
  <c r="Q36" i="6" s="1"/>
  <c r="P35" i="6"/>
  <c r="Q35" i="6" s="1"/>
  <c r="P34" i="6"/>
  <c r="Q34" i="6" s="1"/>
  <c r="P33" i="6"/>
  <c r="Q33" i="6" s="1"/>
  <c r="K33" i="6"/>
  <c r="H33" i="6"/>
  <c r="P32" i="6"/>
  <c r="Q32" i="6" s="1"/>
  <c r="Q31" i="6"/>
  <c r="P31" i="6"/>
  <c r="Q30" i="6"/>
  <c r="P30" i="6"/>
  <c r="P29" i="6"/>
  <c r="Q29" i="6" s="1"/>
  <c r="P28" i="6"/>
  <c r="Q28" i="6" s="1"/>
  <c r="P27" i="6"/>
  <c r="Q27" i="6" s="1"/>
  <c r="P26" i="6"/>
  <c r="Q26" i="6" s="1"/>
  <c r="P25" i="6"/>
  <c r="Q25" i="6" s="1"/>
  <c r="P24" i="6"/>
  <c r="Q24" i="6" s="1"/>
  <c r="Q23" i="6"/>
  <c r="P23" i="6"/>
  <c r="K22" i="6"/>
  <c r="J22" i="6"/>
  <c r="P22" i="6" s="1"/>
  <c r="Q22" i="6" s="1"/>
  <c r="I22" i="6"/>
  <c r="H22" i="6"/>
  <c r="G22" i="6"/>
  <c r="E22" i="6"/>
  <c r="D22" i="6"/>
  <c r="K21" i="6"/>
  <c r="J21" i="6"/>
  <c r="I21" i="6"/>
  <c r="H21" i="6"/>
  <c r="G21" i="6"/>
  <c r="F21" i="6"/>
  <c r="E21" i="6"/>
  <c r="E68" i="6" s="1"/>
  <c r="E134" i="6" s="1"/>
  <c r="D21" i="6"/>
  <c r="D68" i="6" s="1"/>
  <c r="K20" i="6"/>
  <c r="J20" i="6"/>
  <c r="I20" i="6"/>
  <c r="H20" i="6"/>
  <c r="G20" i="6"/>
  <c r="E20" i="6"/>
  <c r="D20" i="6"/>
  <c r="P20" i="6" s="1"/>
  <c r="Q20" i="6" s="1"/>
  <c r="K19" i="6"/>
  <c r="K68" i="6" s="1"/>
  <c r="K134" i="6" s="1"/>
  <c r="J19" i="6"/>
  <c r="J68" i="6" s="1"/>
  <c r="J134" i="6" s="1"/>
  <c r="I19" i="6"/>
  <c r="I68" i="6" s="1"/>
  <c r="I134" i="6" s="1"/>
  <c r="H19" i="6"/>
  <c r="H68" i="6" s="1"/>
  <c r="G19" i="6"/>
  <c r="G68" i="6" s="1"/>
  <c r="G134" i="6" s="1"/>
  <c r="F19" i="6"/>
  <c r="P19" i="6" s="1"/>
  <c r="E19" i="6"/>
  <c r="D19" i="6"/>
  <c r="O18" i="6"/>
  <c r="N18" i="6"/>
  <c r="M18" i="6"/>
  <c r="L18" i="6"/>
  <c r="L134" i="6" s="1"/>
  <c r="I18" i="6"/>
  <c r="G18" i="6"/>
  <c r="E18" i="6"/>
  <c r="C18" i="6"/>
  <c r="K17" i="6"/>
  <c r="J17" i="6"/>
  <c r="I17" i="6"/>
  <c r="H17" i="6"/>
  <c r="G17" i="6"/>
  <c r="F17" i="6"/>
  <c r="E17" i="6"/>
  <c r="D17" i="6"/>
  <c r="D18" i="6" s="1"/>
  <c r="K16" i="6"/>
  <c r="J16" i="6"/>
  <c r="I16" i="6"/>
  <c r="P16" i="6" s="1"/>
  <c r="Q16" i="6" s="1"/>
  <c r="H16" i="6"/>
  <c r="G16" i="6"/>
  <c r="F16" i="6"/>
  <c r="E16" i="6"/>
  <c r="D16" i="6"/>
  <c r="K15" i="6"/>
  <c r="J15" i="6"/>
  <c r="I15" i="6"/>
  <c r="H15" i="6"/>
  <c r="H18" i="6" s="1"/>
  <c r="G15" i="6"/>
  <c r="F15" i="6"/>
  <c r="F18" i="6" s="1"/>
  <c r="E15" i="6"/>
  <c r="D15" i="6"/>
  <c r="P15" i="6" s="1"/>
  <c r="Q15" i="6" s="1"/>
  <c r="Q14" i="6"/>
  <c r="P13" i="6"/>
  <c r="Q13" i="6" s="1"/>
  <c r="J12" i="6"/>
  <c r="G12" i="6"/>
  <c r="P12" i="6" s="1"/>
  <c r="Q12" i="6" s="1"/>
  <c r="F12" i="6"/>
  <c r="P11" i="6"/>
  <c r="Q11" i="6" s="1"/>
  <c r="P10" i="6"/>
  <c r="Q10" i="6" s="1"/>
  <c r="K9" i="6"/>
  <c r="K18" i="6" s="1"/>
  <c r="J9" i="6"/>
  <c r="J18" i="6" s="1"/>
  <c r="Q8" i="6"/>
  <c r="P8" i="6"/>
  <c r="J7" i="6"/>
  <c r="H7" i="6"/>
  <c r="E7" i="6"/>
  <c r="P7" i="6" s="1"/>
  <c r="D7" i="6"/>
  <c r="H134" i="6" l="1"/>
  <c r="Q19" i="6"/>
  <c r="Q133" i="6"/>
  <c r="Q7" i="6"/>
  <c r="D134" i="6"/>
  <c r="P133" i="6"/>
  <c r="P17" i="6"/>
  <c r="Q17" i="6" s="1"/>
  <c r="P9" i="6"/>
  <c r="Q9" i="6" s="1"/>
  <c r="Q69" i="6"/>
  <c r="Q120" i="6" s="1"/>
  <c r="P21" i="6"/>
  <c r="Q21" i="6" s="1"/>
  <c r="F68" i="6"/>
  <c r="F134" i="6" s="1"/>
  <c r="Q121" i="6"/>
  <c r="Q123" i="6" s="1"/>
  <c r="Q68" i="6" l="1"/>
  <c r="P18" i="6"/>
  <c r="P68" i="6"/>
  <c r="P134" i="6" s="1"/>
  <c r="Q18" i="6"/>
  <c r="Q134" i="6" l="1"/>
  <c r="C175" i="4" l="1"/>
  <c r="C161" i="4"/>
  <c r="C156" i="4"/>
  <c r="C93" i="4"/>
  <c r="C35" i="4"/>
  <c r="C176" i="4" l="1"/>
</calcChain>
</file>

<file path=xl/sharedStrings.xml><?xml version="1.0" encoding="utf-8"?>
<sst xmlns="http://schemas.openxmlformats.org/spreadsheetml/2006/main" count="598" uniqueCount="359">
  <si>
    <t>EJECUCION PRESUPUESTARIA A TRAVES DEL SIGEF, FONDO 100 TESORERIA NACIONAL</t>
  </si>
  <si>
    <t xml:space="preserve"> CAPITULO 0201, SUBCAPITULO 02, DAF 01, UE 0009 </t>
  </si>
  <si>
    <t>PERIODO DEL 01 AL 31 DE AGOSTO DEL 2022</t>
  </si>
  <si>
    <t>VALORES EN RD$</t>
  </si>
  <si>
    <t>FORMULACION 2019</t>
  </si>
  <si>
    <t>CCP</t>
  </si>
  <si>
    <t>DESCRIPCION DEL GASTO</t>
  </si>
  <si>
    <t>PRESUPUESTO EJECUTADO</t>
  </si>
  <si>
    <t>Remuneraciones y contribuciones</t>
  </si>
  <si>
    <t>2.1.1</t>
  </si>
  <si>
    <t xml:space="preserve">Remuneraciones 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</si>
  <si>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</si>
  <si>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</si>
  <si>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</si>
  <si>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</si>
  <si>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</si>
  <si>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</si>
  <si>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2.1.1.2.03</t>
  </si>
  <si>
    <t>Personal igualado</t>
  </si>
  <si>
    <t>Suplencias</t>
  </si>
  <si>
    <t>2.1.1.2.08</t>
  </si>
  <si>
    <t>Sueldo personal de caracter temporal</t>
  </si>
  <si>
    <t>2.1.1.2.09</t>
  </si>
  <si>
    <t>Sueldo de carácter eventual</t>
  </si>
  <si>
    <t>2.1.1.4</t>
  </si>
  <si>
    <t>Sueldo anual No. 13</t>
  </si>
  <si>
    <t>2.1.1.5</t>
  </si>
  <si>
    <t>Prestaciones económicas</t>
  </si>
  <si>
    <t>2.1.1.5.01</t>
  </si>
  <si>
    <t>Prestaciones Económicas</t>
  </si>
  <si>
    <t>2.1.1.5.04</t>
  </si>
  <si>
    <t>Proporción de vacaciones no disfrutadas</t>
  </si>
  <si>
    <t>2.1.2</t>
  </si>
  <si>
    <t>Sobresueldo</t>
  </si>
  <si>
    <t>2.1.2.2</t>
  </si>
  <si>
    <t>Compensación</t>
  </si>
  <si>
    <t>2.1.2.2.05</t>
  </si>
  <si>
    <t>Compensación por servicios de seguridad</t>
  </si>
  <si>
    <t>2.1.2.2.06</t>
  </si>
  <si>
    <t>Incentivo por rendimiento individual</t>
  </si>
  <si>
    <t>2.1.5</t>
  </si>
  <si>
    <t>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</si>
  <si>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</si>
  <si>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</si>
  <si>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</si>
  <si>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</si>
  <si>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</si>
  <si>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</si>
  <si>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Total remuneraciones y contribuciones</t>
  </si>
  <si>
    <t xml:space="preserve">Contratación de servicios </t>
  </si>
  <si>
    <t>2.2.1</t>
  </si>
  <si>
    <t>Servicios basicos</t>
  </si>
  <si>
    <t>2.2.1.2.01</t>
  </si>
  <si>
    <t>Servicio  de larga distancia</t>
  </si>
  <si>
    <t>2.2.1.3.01</t>
  </si>
  <si>
    <t>Teléfono local</t>
  </si>
  <si>
    <t>2.2.1.5.01</t>
  </si>
  <si>
    <t>Servicio de Internet</t>
  </si>
  <si>
    <t>2.2.1.6.01</t>
  </si>
  <si>
    <t>Electricidad</t>
  </si>
  <si>
    <t>2.2.1.7.01</t>
  </si>
  <si>
    <t>Agua</t>
  </si>
  <si>
    <t xml:space="preserve"> </t>
  </si>
  <si>
    <t>2.2.1.8.01</t>
  </si>
  <si>
    <t>Residuos sólidos</t>
  </si>
  <si>
    <t>2.2.2</t>
  </si>
  <si>
    <t>Publicidad , impresión y encuadernación</t>
  </si>
  <si>
    <t>2.2.2.1.01</t>
  </si>
  <si>
    <t>Publicidad y propaganda</t>
  </si>
  <si>
    <t>2.2.2.2.01</t>
  </si>
  <si>
    <t xml:space="preserve">Impresión y encuadernación </t>
  </si>
  <si>
    <t>2.2.3</t>
  </si>
  <si>
    <t>Viáticos</t>
  </si>
  <si>
    <t>2.2.3.1.01</t>
  </si>
  <si>
    <t>Viáticos dentro del país</t>
  </si>
  <si>
    <t>2.2.3.2.01</t>
  </si>
  <si>
    <t>Viáticos fuera del país</t>
  </si>
  <si>
    <t>2.2.4</t>
  </si>
  <si>
    <t>Transporte y almacenaje</t>
  </si>
  <si>
    <t>2.2.4.1.01</t>
  </si>
  <si>
    <t>Pasajes</t>
  </si>
  <si>
    <t>2.2.4.2.01</t>
  </si>
  <si>
    <t>Fletes</t>
  </si>
  <si>
    <t>2.2.4.3.01</t>
  </si>
  <si>
    <t>Almacenaje</t>
  </si>
  <si>
    <t>2.2.4.4.01</t>
  </si>
  <si>
    <t>Peaje</t>
  </si>
  <si>
    <t>2.2.5</t>
  </si>
  <si>
    <t>Alquileres y renta</t>
  </si>
  <si>
    <t>2.2.5.1.01</t>
  </si>
  <si>
    <t>Edificios y locales</t>
  </si>
  <si>
    <t>2.2.5.3.01</t>
  </si>
  <si>
    <t>Alquiler equipo educacional</t>
  </si>
  <si>
    <t>2.2.5.3.02</t>
  </si>
  <si>
    <t>Alquiler equipo de tecnología</t>
  </si>
  <si>
    <t>2.2.5.3.04</t>
  </si>
  <si>
    <t>Alquiler equipo de oficina y muebles</t>
  </si>
  <si>
    <t>2.2.5.4.01</t>
  </si>
  <si>
    <t>Equipos de transporte</t>
  </si>
  <si>
    <t>2.2.5.9.01</t>
  </si>
  <si>
    <t>Licencias informáticas</t>
  </si>
  <si>
    <t>2.2.6</t>
  </si>
  <si>
    <t xml:space="preserve">Seguros </t>
  </si>
  <si>
    <t>2.2.6.1.01</t>
  </si>
  <si>
    <t>Seguro de bienes inmuebles</t>
  </si>
  <si>
    <t>2.2.6.2.01</t>
  </si>
  <si>
    <t>Seguro de bienes muebles</t>
  </si>
  <si>
    <t>2.2.6.3.01</t>
  </si>
  <si>
    <t>Seguros de personas</t>
  </si>
  <si>
    <t>2.2.7</t>
  </si>
  <si>
    <t xml:space="preserve">Servicios de conservación, reparaciones menores </t>
  </si>
  <si>
    <t>2.2.7.1.01</t>
  </si>
  <si>
    <t>Obras menores</t>
  </si>
  <si>
    <t>2.2.7.1.02</t>
  </si>
  <si>
    <t>Mantenimientos y reparaciones especiales</t>
  </si>
  <si>
    <t>2.2.7.2.01</t>
  </si>
  <si>
    <t>Mantenimiento y reparación equipo muebles y equipos de oficina</t>
  </si>
  <si>
    <t>2.2.7.2.02</t>
  </si>
  <si>
    <t>Mantenimiento y reparación equipo para computación</t>
  </si>
  <si>
    <t>2.2.7.2.03</t>
  </si>
  <si>
    <t>Mantenimiento y reparación equipos de comunicación</t>
  </si>
  <si>
    <t>2.2.7.2.04</t>
  </si>
  <si>
    <t>Mantenimiento equipos médicos</t>
  </si>
  <si>
    <t>2.2.7.2.05</t>
  </si>
  <si>
    <t xml:space="preserve">Mantenimiento equipos de comunicación </t>
  </si>
  <si>
    <t>2.2.7.2.06</t>
  </si>
  <si>
    <t xml:space="preserve">Mantenimiento y reparación equipos de transporte, tracción </t>
  </si>
  <si>
    <t>2.2.7.2.08</t>
  </si>
  <si>
    <t>Servicios de mantenimiento, desmonte e instalación</t>
  </si>
  <si>
    <t>2.2.8</t>
  </si>
  <si>
    <t>Otros servicios no incluídos en conceptos anteriores</t>
  </si>
  <si>
    <t>2.2.8.2.01</t>
  </si>
  <si>
    <t>Comisiones y gastos bancarios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</si>
  <si>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</si>
  <si>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</si>
  <si>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</si>
  <si>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</si>
  <si>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</si>
  <si>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</si>
  <si>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</si>
  <si>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Organización eventos generales</t>
  </si>
  <si>
    <t>2.2.8.6.02</t>
  </si>
  <si>
    <t>Festividades</t>
  </si>
  <si>
    <t>2.2.8.6.03</t>
  </si>
  <si>
    <t>Actuaciones deportivas</t>
  </si>
  <si>
    <t>2.2.8.7.04</t>
  </si>
  <si>
    <t>Servicio de capacitación</t>
  </si>
  <si>
    <t>2.2.8.7.05</t>
  </si>
  <si>
    <t>Sevicios de informática</t>
  </si>
  <si>
    <t>2.2.8.7.06</t>
  </si>
  <si>
    <t>Otros Servicios técnicos y profesionales</t>
  </si>
  <si>
    <t>2.2.8.8.01</t>
  </si>
  <si>
    <t>Impuestos</t>
  </si>
  <si>
    <t>2.2.8.8.02</t>
  </si>
  <si>
    <t xml:space="preserve">Derechos </t>
  </si>
  <si>
    <t>2.2.8.8.03</t>
  </si>
  <si>
    <t>Tasas</t>
  </si>
  <si>
    <t>2.2.8.9.05</t>
  </si>
  <si>
    <t>Otros gastos operativos</t>
  </si>
  <si>
    <t>2.2.9</t>
  </si>
  <si>
    <t>Otras contrataciones de servicios</t>
  </si>
  <si>
    <t>2.2.9.2.01</t>
  </si>
  <si>
    <t>Servicios de alimentación</t>
  </si>
  <si>
    <t>Total contrataciones de servicios</t>
  </si>
  <si>
    <t>Materiales y suministros</t>
  </si>
  <si>
    <t>2.3.1</t>
  </si>
  <si>
    <t>Alimentos y productos agroforestales</t>
  </si>
  <si>
    <t>2.3.1.1.01</t>
  </si>
  <si>
    <t>Alimentos y bebidas</t>
  </si>
  <si>
    <t>2.3.1.3.03</t>
  </si>
  <si>
    <t xml:space="preserve">Productos forestales </t>
  </si>
  <si>
    <t>2.3.1.4.01</t>
  </si>
  <si>
    <t>Madera, corcho y sus manufacturas</t>
  </si>
  <si>
    <t>2.3.2</t>
  </si>
  <si>
    <t>Textiles y vestuarios</t>
  </si>
  <si>
    <t>2.3.2.1.01</t>
  </si>
  <si>
    <t>Hilados, fibras y telas</t>
  </si>
  <si>
    <t>2.3.2.2.01</t>
  </si>
  <si>
    <t>Acabados textiles</t>
  </si>
  <si>
    <t>2.3.2.3.01</t>
  </si>
  <si>
    <t>Prendas de vestir</t>
  </si>
  <si>
    <t>2.3.2.4.01</t>
  </si>
  <si>
    <t>Calzados</t>
  </si>
  <si>
    <t>2.3.3</t>
  </si>
  <si>
    <t>Productos de papel, cartón e impresos</t>
  </si>
  <si>
    <t>2.3.3.1.01</t>
  </si>
  <si>
    <t>Papel de escritorio</t>
  </si>
  <si>
    <t>2.3.3.2.01</t>
  </si>
  <si>
    <t>Productos de papel y cartón</t>
  </si>
  <si>
    <t>2.3.3.3.01</t>
  </si>
  <si>
    <t xml:space="preserve">Producto de Artes gráficas </t>
  </si>
  <si>
    <t>2.3.3.4.01</t>
  </si>
  <si>
    <t>Libros revistas y periódicos</t>
  </si>
  <si>
    <t>2.3.3.5.01</t>
  </si>
  <si>
    <t>Texto de enseñanza</t>
  </si>
  <si>
    <t>2.3.4</t>
  </si>
  <si>
    <t>Productos farmacéuticos</t>
  </si>
  <si>
    <t>2.3.4.1.01</t>
  </si>
  <si>
    <t>Productos medicinales para uso humano</t>
  </si>
  <si>
    <t>2.3.5</t>
  </si>
  <si>
    <t>Productos de cuero, caucho y plástico</t>
  </si>
  <si>
    <t>2.3.5.1.01</t>
  </si>
  <si>
    <t>Cueros y pieles</t>
  </si>
  <si>
    <t>2.3.5.2.01</t>
  </si>
  <si>
    <t>Artículos de cuero</t>
  </si>
  <si>
    <t>2.3.5.3.01</t>
  </si>
  <si>
    <t xml:space="preserve">Llantas y neumáticos </t>
  </si>
  <si>
    <t>2.3.5.4.01</t>
  </si>
  <si>
    <t>Artículos de Caucho</t>
  </si>
  <si>
    <t>2.3.5.5.01</t>
  </si>
  <si>
    <t>Artículos de Plástico</t>
  </si>
  <si>
    <t>2.3.6</t>
  </si>
  <si>
    <t>Productos de minerales, metálicos y no metálicos</t>
  </si>
  <si>
    <t>2.3.6.1.01</t>
  </si>
  <si>
    <t>Productos de cemento</t>
  </si>
  <si>
    <t>2.3.6.1.02</t>
  </si>
  <si>
    <t>Productos de cal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</si>
  <si>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</si>
  <si>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</si>
  <si>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</si>
  <si>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</si>
  <si>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</si>
  <si>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</si>
  <si>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</si>
  <si>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</si>
  <si>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</si>
  <si>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</si>
  <si>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2.3.6.3.01</t>
  </si>
  <si>
    <t>Productos ferrosos</t>
  </si>
  <si>
    <t>2.3.6.3.03</t>
  </si>
  <si>
    <t>Estructuras metálicas acabadas</t>
  </si>
  <si>
    <t>2.3.6.3.04</t>
  </si>
  <si>
    <t>Herramientas menores</t>
  </si>
  <si>
    <t>2.3.6.3.05</t>
  </si>
  <si>
    <t>Productos de hojalata</t>
  </si>
  <si>
    <t>2.3.6.3.06</t>
  </si>
  <si>
    <t>Accesorios de metal</t>
  </si>
  <si>
    <t>2.3.7</t>
  </si>
  <si>
    <t>Combustibles, lubricantes, productos químico y conexos</t>
  </si>
  <si>
    <t>2.3.7.1.01</t>
  </si>
  <si>
    <t>Gasolina</t>
  </si>
  <si>
    <t>2.3.7.1.02</t>
  </si>
  <si>
    <t>Gasoil</t>
  </si>
  <si>
    <t>2.3.7.1.03</t>
  </si>
  <si>
    <t>Keroseno</t>
  </si>
  <si>
    <t>2.3.7.1.04</t>
  </si>
  <si>
    <t>Gas GLP</t>
  </si>
  <si>
    <t>2.3.7.1.05</t>
  </si>
  <si>
    <t>Aceites y grasas</t>
  </si>
  <si>
    <t>2.3.7.1.06</t>
  </si>
  <si>
    <t>Lubricantes</t>
  </si>
  <si>
    <t>2.3.7.2.01</t>
  </si>
  <si>
    <t>Productos explosivos y pirotecnia</t>
  </si>
  <si>
    <t>2.3.7.2.03</t>
  </si>
  <si>
    <t>Productos químicos de uso personal</t>
  </si>
  <si>
    <t>2.3.7.2.05</t>
  </si>
  <si>
    <t>Insecticidas, fumigantes y otros</t>
  </si>
  <si>
    <t>2.3.7.2.06</t>
  </si>
  <si>
    <t>Pinturas, lacas, barnices</t>
  </si>
  <si>
    <t>2.3.7.2.07</t>
  </si>
  <si>
    <t>Productos químicos para saneamiento</t>
  </si>
  <si>
    <t>2.3.7.2.99</t>
  </si>
  <si>
    <t>Otros productos químicos</t>
  </si>
  <si>
    <t>2.3.9</t>
  </si>
  <si>
    <t>Productos y útiles varios</t>
  </si>
  <si>
    <t>2.3.9.1.01</t>
  </si>
  <si>
    <t>Materiales de limpieza</t>
  </si>
  <si>
    <t>2.3.9.2.01</t>
  </si>
  <si>
    <t>Útiles de escritorio, oficina informática y enseñanza</t>
  </si>
  <si>
    <t>2.3.9.2.02</t>
  </si>
  <si>
    <t>Utiles y materiales escolares</t>
  </si>
  <si>
    <t>2.3.9.3.01</t>
  </si>
  <si>
    <t>Utiles menores quirurgicos</t>
  </si>
  <si>
    <t>2.3.9.4.01</t>
  </si>
  <si>
    <t>Útiles destinados a actividades deportivas y recreativas</t>
  </si>
  <si>
    <t>2.3.9.5.01</t>
  </si>
  <si>
    <t>Útiles de cocina y comedor</t>
  </si>
  <si>
    <t>2.3.9.6.01</t>
  </si>
  <si>
    <t>Productos electrónicos y afines</t>
  </si>
  <si>
    <t>2.3.9.8.01</t>
  </si>
  <si>
    <t>Repuestos</t>
  </si>
  <si>
    <t>2.3.9.9.01</t>
  </si>
  <si>
    <t>Materiales y útiles varios</t>
  </si>
  <si>
    <t>2.3.9.9.04</t>
  </si>
  <si>
    <t xml:space="preserve">Productos y útiles de defensa </t>
  </si>
  <si>
    <t>2.3.9.9.05</t>
  </si>
  <si>
    <t>Productos y utiles diversos</t>
  </si>
  <si>
    <t>Total materiales y suministros</t>
  </si>
  <si>
    <t>Transferencias corrientes</t>
  </si>
  <si>
    <t>2.4.1</t>
  </si>
  <si>
    <t>Transferencias corrientes al sector privado</t>
  </si>
  <si>
    <t>2.4.1.2.01</t>
  </si>
  <si>
    <t>Ayudas y donaciones</t>
  </si>
  <si>
    <t>2.4.1.4.01</t>
  </si>
  <si>
    <t>Becas nacionales</t>
  </si>
  <si>
    <t>Total transferencias corrientes</t>
  </si>
  <si>
    <t>Bienes muebles, inmuebles e intangibles</t>
  </si>
  <si>
    <t>2.6.1</t>
  </si>
  <si>
    <t>Muebles de oficina y estantería</t>
  </si>
  <si>
    <t>2.6.1.1.01</t>
  </si>
  <si>
    <t>2.6.1.3.01</t>
  </si>
  <si>
    <t>Equipo computacional</t>
  </si>
  <si>
    <t>2.6.1.4.01</t>
  </si>
  <si>
    <t>Electrodoméstico</t>
  </si>
  <si>
    <t>2.6.1.9.01</t>
  </si>
  <si>
    <t xml:space="preserve">Otros Mobiliarios y Equipos </t>
  </si>
  <si>
    <t>2.6.2</t>
  </si>
  <si>
    <t xml:space="preserve">Mobiliario y equipo audiovisual </t>
  </si>
  <si>
    <t>2.6.2.3.01</t>
  </si>
  <si>
    <t>Cámara fotogáfica y de video</t>
  </si>
  <si>
    <t>2.6.4</t>
  </si>
  <si>
    <t>Vehiculos y Equipos de Transporte, Traccion y Elevacion</t>
  </si>
  <si>
    <t>2.6.4.1.01</t>
  </si>
  <si>
    <t>Automobiles y camiones</t>
  </si>
  <si>
    <t>2.6.5</t>
  </si>
  <si>
    <t>Maquinaria, otros equipos y herramientas</t>
  </si>
  <si>
    <t>2.6.5.5.01</t>
  </si>
  <si>
    <t>Equipo de comunicación</t>
  </si>
  <si>
    <t>2.6.5.7.01</t>
  </si>
  <si>
    <t>Maquinaria - herramientas</t>
  </si>
  <si>
    <t>Total muebles y equipos de oficina</t>
  </si>
  <si>
    <t>Total ejecutado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</si>
  <si>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</si>
  <si>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</si>
  <si>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</si>
  <si>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Encargada Administrativa y Financiera – SIUBEN</t>
  </si>
  <si>
    <t>EJECUCION PRESUPUESTARIA AÑO 2022</t>
  </si>
  <si>
    <t> OBJETAL</t>
  </si>
  <si>
    <t>DENOMINACIÓN</t>
  </si>
  <si>
    <t>PRESUPUESTO AÑO 2022</t>
  </si>
  <si>
    <t xml:space="preserve">EJECUCION ACUMULADA </t>
  </si>
  <si>
    <t>PRESUPUESTO DISPONIBLE</t>
  </si>
  <si>
    <t>Sueldo de caracter eventual</t>
  </si>
  <si>
    <t>2.1.1.4.01</t>
  </si>
  <si>
    <t>Sueldo Anual No. 13</t>
  </si>
  <si>
    <t>Incentivo por Rendimiento Individual</t>
  </si>
  <si>
    <t>Sub-total</t>
  </si>
  <si>
    <t>Alquiler equipo esucacional</t>
  </si>
  <si>
    <t>Alquiler de equipo de tegnología</t>
  </si>
  <si>
    <t>Mantenimiento y reparaciones de mobiliarios</t>
  </si>
  <si>
    <t>Mantenimiento y reparación equipo educacional</t>
  </si>
  <si>
    <t>Productos metálicos</t>
  </si>
  <si>
    <t>Productos y utiles de defensa</t>
  </si>
  <si>
    <t>2.6.5.4.01</t>
  </si>
  <si>
    <t xml:space="preserve">Sistemas y equipos de climatización </t>
  </si>
  <si>
    <t>Maquinarias - herramientas</t>
  </si>
  <si>
    <t>Thelbia Fernández</t>
  </si>
  <si>
    <t>Preparado por :</t>
  </si>
  <si>
    <t>Fuente: SIGEF</t>
  </si>
  <si>
    <t>Fecha de registro: hasta el 31/08/2022</t>
  </si>
  <si>
    <t>Fecha de imputación: hasta el 31/08/2022</t>
  </si>
  <si>
    <t xml:space="preserve">                                                                                      </t>
  </si>
  <si>
    <r>
      <rPr>
        <b/>
        <sz val="10"/>
        <color theme="1"/>
        <rFont val="Arial"/>
        <family val="2"/>
      </rPr>
      <t>Presupuesto aprobado:</t>
    </r>
    <r>
      <rPr>
        <sz val="10"/>
        <color theme="1"/>
        <rFont val="Arial"/>
        <family val="2"/>
      </rPr>
      <t xml:space="preserve"> Se refiere al presupuesto aprobado en la Ley de Presupuesto General del Estado.</t>
    </r>
  </si>
  <si>
    <r>
      <rPr>
        <b/>
        <sz val="10"/>
        <color rgb="FF000000"/>
        <rFont val="Arial"/>
        <family val="2"/>
      </rPr>
      <t xml:space="preserve">Presupuesto modificado: </t>
    </r>
    <r>
      <rPr>
        <sz val="10"/>
        <color rgb="FF000000"/>
        <rFont val="Arial"/>
        <family val="2"/>
      </rPr>
      <t xml:space="preserve"> Se refiere al presupuesto aprobado en caso de que el Congreso Nacional apruebe un presupuesto complementario.             </t>
    </r>
    <r>
      <rPr>
        <sz val="10"/>
        <color rgb="FF000000"/>
        <rFont val="Calibri"/>
        <family val="2"/>
      </rPr>
      <t xml:space="preserve">           </t>
    </r>
    <r>
      <rPr>
        <i/>
        <sz val="11"/>
        <color rgb="FF000000"/>
        <rFont val="Calibri"/>
        <family val="2"/>
      </rPr>
      <t xml:space="preserve">                                                                      </t>
    </r>
  </si>
  <si>
    <r>
      <t>Total devengado:</t>
    </r>
    <r>
      <rPr>
        <sz val="11"/>
        <color rgb="FF000000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                                                                                                             </t>
    </r>
  </si>
  <si>
    <t xml:space="preserve">Preparado por: </t>
  </si>
  <si>
    <t>____________________</t>
  </si>
  <si>
    <t xml:space="preserve"> Analista de Presupuesto – SIUBEN</t>
  </si>
  <si>
    <t xml:space="preserve">          Thelbia Fernández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</si>
</sst>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Arial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0"/>
      <color theme="1"/>
      <name val="Bookman Old Style"/>
      <family val="1"/>
    </font>
    <font>
      <i/>
      <sz val="11"/>
      <color rgb="FF000000"/>
      <name val="Arial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theme="1"/>
      <name val="Gotham"/>
    </font>
    <font>
      <b/>
      <sz val="11"/>
      <color theme="1"/>
      <name val="Arial"/>
      <family val="2"/>
    </font>
    <font>
      <b/>
      <i/>
      <sz val="11"/>
      <color theme="1"/>
      <name val="Gotham"/>
    </font>
    <font>
      <b/>
      <i/>
      <sz val="10"/>
      <color theme="1"/>
      <name val="Gotham"/>
    </font>
    <font>
      <b/>
      <i/>
      <sz val="9"/>
      <color theme="1"/>
      <name val="Gotham"/>
    </font>
    <font>
      <i/>
      <sz val="10"/>
      <color theme="1"/>
      <name val="Gotham"/>
    </font>
    <font>
      <sz val="10"/>
      <color theme="1"/>
      <name val="Calibri"/>
      <family val="2"/>
    </font>
    <font>
      <sz val="10"/>
      <color theme="1"/>
      <name val="Gotham"/>
    </font>
    <font>
      <i/>
      <sz val="11"/>
      <color theme="1"/>
      <name val="Gotham"/>
    </font>
    <font>
      <i/>
      <sz val="11"/>
      <color rgb="FF000000"/>
      <name val="Gotham"/>
    </font>
    <font>
      <sz val="11"/>
      <color theme="1"/>
      <name val="Gotham"/>
    </font>
    <font>
      <b/>
      <sz val="11"/>
      <color theme="1"/>
      <name val="Gotham"/>
    </font>
    <font>
      <sz val="11"/>
      <color rgb="FFFF0000"/>
      <name val="Gotham"/>
    </font>
    <font>
      <b/>
      <i/>
      <sz val="8"/>
      <color rgb="FFFF0000"/>
      <name val="Gotham"/>
    </font>
    <font>
      <sz val="10"/>
      <color rgb="FFFF0000"/>
      <name val="Gotham"/>
    </font>
    <font>
      <i/>
      <sz val="10"/>
      <name val="Gotham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CC"/>
        <bgColor rgb="FFCCFFFF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10">
    <xf numFmtId="0" fontId="0" fillId="0" borderId="0" xfId="0"/>
    <xf numFmtId="0" fontId="7" fillId="2" borderId="2" xfId="0" applyFont="1" applyFill="1" applyBorder="1"/>
    <xf numFmtId="0" fontId="6" fillId="2" borderId="3" xfId="0" applyFont="1" applyFill="1" applyBorder="1" applyAlignment="1">
      <alignment horizontal="center"/>
    </xf>
    <xf numFmtId="17" fontId="7" fillId="2" borderId="4" xfId="0" applyNumberFormat="1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17" fontId="7" fillId="2" borderId="7" xfId="0" applyNumberFormat="1" applyFont="1" applyFill="1" applyBorder="1" applyAlignment="1">
      <alignment horizontal="center" wrapText="1"/>
    </xf>
    <xf numFmtId="0" fontId="7" fillId="2" borderId="5" xfId="0" applyFont="1" applyFill="1" applyBorder="1"/>
    <xf numFmtId="0" fontId="8" fillId="0" borderId="8" xfId="0" applyFont="1" applyBorder="1"/>
    <xf numFmtId="0" fontId="9" fillId="0" borderId="1" xfId="0" applyFont="1" applyBorder="1"/>
    <xf numFmtId="4" fontId="8" fillId="0" borderId="9" xfId="0" applyNumberFormat="1" applyFont="1" applyBorder="1"/>
    <xf numFmtId="0" fontId="9" fillId="0" borderId="6" xfId="0" applyFont="1" applyBorder="1"/>
    <xf numFmtId="4" fontId="8" fillId="0" borderId="7" xfId="0" applyNumberFormat="1" applyFont="1" applyBorder="1"/>
    <xf numFmtId="0" fontId="7" fillId="0" borderId="5" xfId="0" applyFont="1" applyBorder="1"/>
    <xf numFmtId="0" fontId="6" fillId="0" borderId="6" xfId="0" applyFont="1" applyBorder="1" applyAlignment="1">
      <alignment horizontal="left"/>
    </xf>
    <xf numFmtId="17" fontId="7" fillId="0" borderId="7" xfId="0" applyNumberFormat="1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8" fillId="2" borderId="8" xfId="0" applyFont="1" applyFill="1" applyBorder="1"/>
    <xf numFmtId="4" fontId="7" fillId="2" borderId="9" xfId="0" applyNumberFormat="1" applyFont="1" applyFill="1" applyBorder="1"/>
    <xf numFmtId="0" fontId="7" fillId="2" borderId="8" xfId="0" applyFont="1" applyFill="1" applyBorder="1" applyAlignment="1">
      <alignment horizontal="left"/>
    </xf>
    <xf numFmtId="0" fontId="4" fillId="0" borderId="0" xfId="0" applyFont="1"/>
    <xf numFmtId="0" fontId="7" fillId="2" borderId="1" xfId="0" applyFont="1" applyFill="1" applyBorder="1"/>
    <xf numFmtId="4" fontId="6" fillId="2" borderId="9" xfId="0" applyNumberFormat="1" applyFont="1" applyFill="1" applyBorder="1" applyAlignment="1">
      <alignment horizontal="right" wrapText="1"/>
    </xf>
    <xf numFmtId="0" fontId="8" fillId="2" borderId="8" xfId="0" applyFont="1" applyFill="1" applyBorder="1" applyAlignment="1">
      <alignment horizontal="left"/>
    </xf>
    <xf numFmtId="4" fontId="10" fillId="0" borderId="9" xfId="0" applyNumberFormat="1" applyFont="1" applyBorder="1"/>
    <xf numFmtId="0" fontId="8" fillId="0" borderId="1" xfId="0" applyFont="1" applyBorder="1"/>
    <xf numFmtId="0" fontId="7" fillId="2" borderId="8" xfId="0" applyFont="1" applyFill="1" applyBorder="1"/>
    <xf numFmtId="0" fontId="3" fillId="0" borderId="0" xfId="0" applyFont="1" applyAlignment="1">
      <alignment horizontal="left" indent="2"/>
    </xf>
    <xf numFmtId="0" fontId="8" fillId="0" borderId="10" xfId="0" applyFont="1" applyBorder="1"/>
    <xf numFmtId="4" fontId="8" fillId="0" borderId="11" xfId="0" applyNumberFormat="1" applyFont="1" applyBorder="1"/>
    <xf numFmtId="0" fontId="8" fillId="2" borderId="10" xfId="0" applyFont="1" applyFill="1" applyBorder="1"/>
    <xf numFmtId="4" fontId="6" fillId="2" borderId="11" xfId="0" applyNumberFormat="1" applyFont="1" applyFill="1" applyBorder="1" applyAlignment="1">
      <alignment horizontal="right" wrapText="1"/>
    </xf>
    <xf numFmtId="0" fontId="8" fillId="2" borderId="12" xfId="0" applyFont="1" applyFill="1" applyBorder="1"/>
    <xf numFmtId="0" fontId="6" fillId="2" borderId="13" xfId="0" applyFont="1" applyFill="1" applyBorder="1" applyAlignment="1">
      <alignment wrapText="1"/>
    </xf>
    <xf numFmtId="4" fontId="6" fillId="2" borderId="14" xfId="0" applyNumberFormat="1" applyFont="1" applyFill="1" applyBorder="1" applyAlignment="1">
      <alignment wrapText="1"/>
    </xf>
    <xf numFmtId="0" fontId="2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1"/>
    <xf numFmtId="0" fontId="14" fillId="0" borderId="0" xfId="1" applyFont="1" applyAlignment="1">
      <alignment horizontal="center" wrapText="1"/>
    </xf>
    <xf numFmtId="4" fontId="15" fillId="0" borderId="0" xfId="1" applyNumberFormat="1" applyFont="1"/>
    <xf numFmtId="0" fontId="16" fillId="3" borderId="16" xfId="1" applyFont="1" applyFill="1" applyBorder="1"/>
    <xf numFmtId="0" fontId="17" fillId="3" borderId="17" xfId="1" applyFont="1" applyFill="1" applyBorder="1" applyAlignment="1">
      <alignment horizontal="center"/>
    </xf>
    <xf numFmtId="0" fontId="18" fillId="3" borderId="17" xfId="1" applyFont="1" applyFill="1" applyBorder="1" applyAlignment="1">
      <alignment horizontal="center" wrapText="1"/>
    </xf>
    <xf numFmtId="17" fontId="16" fillId="3" borderId="17" xfId="1" applyNumberFormat="1" applyFont="1" applyFill="1" applyBorder="1" applyAlignment="1">
      <alignment horizontal="center"/>
    </xf>
    <xf numFmtId="0" fontId="18" fillId="3" borderId="18" xfId="1" applyFont="1" applyFill="1" applyBorder="1" applyAlignment="1">
      <alignment horizontal="center" wrapText="1"/>
    </xf>
    <xf numFmtId="0" fontId="19" fillId="0" borderId="19" xfId="1" applyFont="1" applyBorder="1"/>
    <xf numFmtId="0" fontId="19" fillId="0" borderId="1" xfId="1" applyFont="1" applyBorder="1"/>
    <xf numFmtId="4" fontId="19" fillId="0" borderId="1" xfId="1" applyNumberFormat="1" applyFont="1" applyBorder="1"/>
    <xf numFmtId="4" fontId="19" fillId="0" borderId="20" xfId="1" applyNumberFormat="1" applyFont="1" applyBorder="1"/>
    <xf numFmtId="4" fontId="19" fillId="0" borderId="21" xfId="1" applyNumberFormat="1" applyFont="1" applyBorder="1"/>
    <xf numFmtId="1" fontId="20" fillId="0" borderId="0" xfId="1" applyNumberFormat="1" applyFont="1" applyAlignment="1">
      <alignment horizontal="center"/>
    </xf>
    <xf numFmtId="0" fontId="3" fillId="0" borderId="0" xfId="1" applyFont="1"/>
    <xf numFmtId="0" fontId="19" fillId="0" borderId="1" xfId="1" applyFont="1" applyBorder="1" applyAlignment="1">
      <alignment wrapText="1"/>
    </xf>
    <xf numFmtId="0" fontId="21" fillId="0" borderId="0" xfId="1" applyFont="1"/>
    <xf numFmtId="0" fontId="20" fillId="0" borderId="0" xfId="1" applyFont="1"/>
    <xf numFmtId="0" fontId="22" fillId="3" borderId="19" xfId="1" applyFont="1" applyFill="1" applyBorder="1"/>
    <xf numFmtId="0" fontId="16" fillId="3" borderId="1" xfId="1" applyFont="1" applyFill="1" applyBorder="1"/>
    <xf numFmtId="4" fontId="17" fillId="3" borderId="1" xfId="1" applyNumberFormat="1" applyFont="1" applyFill="1" applyBorder="1" applyAlignment="1">
      <alignment horizontal="right" wrapText="1"/>
    </xf>
    <xf numFmtId="0" fontId="22" fillId="0" borderId="19" xfId="1" applyFont="1" applyBorder="1"/>
    <xf numFmtId="4" fontId="19" fillId="0" borderId="1" xfId="1" applyNumberFormat="1" applyFont="1" applyBorder="1" applyAlignment="1">
      <alignment horizontal="right" wrapText="1"/>
    </xf>
    <xf numFmtId="4" fontId="22" fillId="0" borderId="1" xfId="1" applyNumberFormat="1" applyFont="1" applyBorder="1"/>
    <xf numFmtId="4" fontId="22" fillId="0" borderId="20" xfId="1" applyNumberFormat="1" applyFont="1" applyBorder="1"/>
    <xf numFmtId="4" fontId="22" fillId="0" borderId="21" xfId="1" applyNumberFormat="1" applyFont="1" applyBorder="1"/>
    <xf numFmtId="4" fontId="17" fillId="3" borderId="20" xfId="1" applyNumberFormat="1" applyFont="1" applyFill="1" applyBorder="1" applyAlignment="1">
      <alignment horizontal="right" wrapText="1"/>
    </xf>
    <xf numFmtId="4" fontId="17" fillId="3" borderId="21" xfId="1" applyNumberFormat="1" applyFont="1" applyFill="1" applyBorder="1" applyAlignment="1">
      <alignment horizontal="right" wrapText="1"/>
    </xf>
    <xf numFmtId="4" fontId="22" fillId="0" borderId="1" xfId="1" applyNumberFormat="1" applyFont="1" applyBorder="1" applyAlignment="1">
      <alignment horizontal="right" wrapText="1"/>
    </xf>
    <xf numFmtId="4" fontId="23" fillId="0" borderId="20" xfId="1" applyNumberFormat="1" applyFont="1" applyBorder="1"/>
    <xf numFmtId="0" fontId="22" fillId="0" borderId="1" xfId="1" applyFont="1" applyBorder="1"/>
    <xf numFmtId="0" fontId="16" fillId="3" borderId="19" xfId="1" applyFont="1" applyFill="1" applyBorder="1"/>
    <xf numFmtId="0" fontId="22" fillId="3" borderId="22" xfId="1" applyFont="1" applyFill="1" applyBorder="1"/>
    <xf numFmtId="0" fontId="17" fillId="3" borderId="23" xfId="1" applyFont="1" applyFill="1" applyBorder="1" applyAlignment="1">
      <alignment wrapText="1"/>
    </xf>
    <xf numFmtId="4" fontId="17" fillId="3" borderId="23" xfId="1" applyNumberFormat="1" applyFont="1" applyFill="1" applyBorder="1" applyAlignment="1">
      <alignment wrapText="1"/>
    </xf>
    <xf numFmtId="4" fontId="17" fillId="3" borderId="24" xfId="1" applyNumberFormat="1" applyFont="1" applyFill="1" applyBorder="1" applyAlignment="1">
      <alignment wrapText="1"/>
    </xf>
    <xf numFmtId="4" fontId="17" fillId="3" borderId="25" xfId="1" applyNumberFormat="1" applyFont="1" applyFill="1" applyBorder="1" applyAlignment="1">
      <alignment wrapText="1"/>
    </xf>
    <xf numFmtId="0" fontId="24" fillId="0" borderId="0" xfId="1" applyFont="1"/>
    <xf numFmtId="0" fontId="25" fillId="0" borderId="0" xfId="1" applyFont="1"/>
    <xf numFmtId="4" fontId="25" fillId="0" borderId="0" xfId="1" applyNumberFormat="1" applyFont="1"/>
    <xf numFmtId="2" fontId="25" fillId="0" borderId="0" xfId="1" applyNumberFormat="1" applyFont="1" applyAlignment="1">
      <alignment horizontal="center"/>
    </xf>
    <xf numFmtId="0" fontId="26" fillId="0" borderId="0" xfId="1" applyFont="1"/>
    <xf numFmtId="0" fontId="27" fillId="0" borderId="0" xfId="1" applyFont="1" applyAlignment="1">
      <alignment horizontal="center"/>
    </xf>
    <xf numFmtId="0" fontId="3" fillId="4" borderId="0" xfId="1" applyFont="1" applyFill="1"/>
    <xf numFmtId="0" fontId="28" fillId="0" borderId="0" xfId="1" applyFont="1"/>
    <xf numFmtId="0" fontId="19" fillId="0" borderId="0" xfId="1" applyFont="1"/>
    <xf numFmtId="4" fontId="28" fillId="0" borderId="0" xfId="1" applyNumberFormat="1" applyFont="1"/>
    <xf numFmtId="0" fontId="29" fillId="0" borderId="0" xfId="1" applyFont="1"/>
    <xf numFmtId="0" fontId="30" fillId="0" borderId="0" xfId="1" applyFont="1"/>
    <xf numFmtId="0" fontId="31" fillId="0" borderId="0" xfId="1" applyFont="1"/>
    <xf numFmtId="4" fontId="31" fillId="0" borderId="0" xfId="1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1" applyFont="1" applyAlignment="1">
      <alignment horizontal="center"/>
    </xf>
    <xf numFmtId="0" fontId="4" fillId="0" borderId="0" xfId="1"/>
    <xf numFmtId="0" fontId="2" fillId="0" borderId="15" xfId="1" applyFont="1" applyBorder="1" applyAlignment="1">
      <alignment horizontal="center"/>
    </xf>
    <xf numFmtId="0" fontId="16" fillId="0" borderId="26" xfId="1" applyFont="1" applyBorder="1" applyAlignment="1">
      <alignment horizontal="center"/>
    </xf>
    <xf numFmtId="0" fontId="19" fillId="0" borderId="27" xfId="1" applyFont="1" applyBorder="1" applyAlignment="1">
      <alignment horizontal="center"/>
    </xf>
    <xf numFmtId="0" fontId="4" fillId="0" borderId="0" xfId="1" applyFont="1"/>
    <xf numFmtId="0" fontId="4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" fillId="0" borderId="0" xfId="1" applyFont="1" applyAlignment="1">
      <alignment horizontal="center"/>
    </xf>
  </cellXfs>
  <cellStyles count="2">
    <cellStyle name="Normal" xfId="0" builtinId="0"/>
    <cellStyle name="Normal 2" xfId="1" xr:uid="{CF17A9E2-0EE7-4EB7-8ADF-783FB76F69E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1117324</xdr:colOff>
      <xdr:row>5</xdr:row>
      <xdr:rowOff>22777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740E0A8-BF38-4BA8-A5D2-521868E474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3599" cy="927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26277</xdr:colOff>
      <xdr:row>0</xdr:row>
      <xdr:rowOff>6569</xdr:rowOff>
    </xdr:from>
    <xdr:to>
      <xdr:col>1</xdr:col>
      <xdr:colOff>624053</xdr:colOff>
      <xdr:row>4</xdr:row>
      <xdr:rowOff>295603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3AAFC4-2135-450A-8165-111DA0BEF9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77" y="6569"/>
          <a:ext cx="1331201" cy="9081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aquino\Downloads\Juli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 "/>
      <sheetName val="P3 Ejecucion 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BB00-C59B-4B29-B239-505357F0C1A3}">
  <dimension ref="A7:F513"/>
  <sheetViews>
    <sheetView topLeftCell="A169" workbookViewId="0">
      <selection activeCell="A180" sqref="A180:C181"/>
    </sheetView>
  </sheetViews>
  <sheetFormatPr defaultColWidth="12.625" defaultRowHeight="15" customHeight="1"/>
  <cols>
    <col min="1" max="1" width="12.125" customWidth="1"/>
    <col min="2" max="2" width="46.75" customWidth="1"/>
    <col min="3" max="3" width="22" customWidth="1"/>
    <col min="4" max="14" width="10" customWidth="1"/>
  </cols>
  <sheetData>
    <row r="7" spans="1:3" ht="15" customHeight="1">
      <c r="A7" s="90" t="s">
        <v>0</v>
      </c>
      <c r="B7" s="90"/>
      <c r="C7" s="90"/>
    </row>
    <row r="8" spans="1:3" ht="15" customHeight="1">
      <c r="A8" s="90" t="s">
        <v>1</v>
      </c>
      <c r="B8" s="90"/>
      <c r="C8" s="90"/>
    </row>
    <row r="9" spans="1:3" ht="15" customHeight="1">
      <c r="A9" s="90" t="s">
        <v>2</v>
      </c>
      <c r="B9" s="90"/>
      <c r="C9" s="90"/>
    </row>
    <row r="10" spans="1:3" ht="16.5" customHeight="1">
      <c r="A10" s="91" t="s">
        <v>3</v>
      </c>
      <c r="B10" s="91"/>
      <c r="C10" s="91"/>
    </row>
    <row r="11" spans="1:3" ht="2.25" customHeight="1" thickBot="1">
      <c r="A11" s="92" t="s">
        <v>4</v>
      </c>
      <c r="B11" s="93"/>
    </row>
    <row r="12" spans="1:3" ht="47.25" customHeight="1">
      <c r="A12" s="1" t="s">
        <v>5</v>
      </c>
      <c r="B12" s="2" t="s">
        <v>6</v>
      </c>
      <c r="C12" s="3" t="s">
        <v>7</v>
      </c>
    </row>
    <row r="13" spans="1:3" ht="19.5" customHeight="1">
      <c r="A13" s="4">
        <v>2.1</v>
      </c>
      <c r="B13" s="5" t="s">
        <v>8</v>
      </c>
      <c r="C13" s="6"/>
    </row>
    <row r="14" spans="1:3" ht="19.5" customHeight="1">
      <c r="A14" s="7" t="s">
        <v>9</v>
      </c>
      <c r="B14" s="5" t="s">
        <v>10</v>
      </c>
      <c r="C14" s="6"/>
    </row>
    <row r="15" spans="1:3" ht="19.5" customHeight="1">
      <c r="A15" s="7" t="s">
        <v>11</v>
      </c>
      <c r="B15" s="5" t="s">
        <v>12</v>
      </c>
      <c r="C15" s="6"/>
    </row>
    <row r="16" spans="1:3">
      <c r="A16" s="8" t="s">
        <v>13</v>
      </c>
      <c r="B16" s="9" t="s">
        <v>14</v>
      </c>
      <c r="C16" s="10">
        <v>11833724.119999999</v>
      </c>
    </row>
    <row r="17" spans="1:3">
      <c r="A17" s="7" t="s">
        <v>15</v>
      </c>
      <c r="B17" s="5" t="s">
        <v>16</v>
      </c>
      <c r="C17" s="6"/>
    </row>
    <row r="18" spans="1:3">
      <c r="A18" s="8" t="s">
        <v>17</v>
      </c>
      <c r="B18" s="9" t="s">
        <v>18</v>
      </c>
      <c r="C18" s="10"/>
    </row>
    <row r="19" spans="1:3">
      <c r="A19" s="8" t="s">
        <v>17</v>
      </c>
      <c r="B19" s="9" t="s">
        <v>19</v>
      </c>
      <c r="C19" s="10"/>
    </row>
    <row r="20" spans="1:3">
      <c r="A20" s="8" t="s">
        <v>20</v>
      </c>
      <c r="B20" s="9" t="s">
        <v>21</v>
      </c>
      <c r="C20" s="10">
        <v>20000</v>
      </c>
    </row>
    <row r="21" spans="1:3">
      <c r="A21" s="8" t="s">
        <v>22</v>
      </c>
      <c r="B21" s="11" t="s">
        <v>23</v>
      </c>
      <c r="C21" s="12">
        <v>501000</v>
      </c>
    </row>
    <row r="22" spans="1:3">
      <c r="A22" s="7" t="s">
        <v>24</v>
      </c>
      <c r="B22" s="5" t="s">
        <v>25</v>
      </c>
      <c r="C22" s="6"/>
    </row>
    <row r="23" spans="1:3">
      <c r="A23" s="13"/>
      <c r="B23" s="14"/>
      <c r="C23" s="15"/>
    </row>
    <row r="24" spans="1:3">
      <c r="A24" s="7" t="s">
        <v>26</v>
      </c>
      <c r="B24" s="5" t="s">
        <v>27</v>
      </c>
      <c r="C24" s="6"/>
    </row>
    <row r="25" spans="1:3">
      <c r="A25" s="8" t="s">
        <v>28</v>
      </c>
      <c r="B25" s="9" t="s">
        <v>29</v>
      </c>
      <c r="C25" s="10">
        <v>0</v>
      </c>
    </row>
    <row r="26" spans="1:3">
      <c r="A26" s="8" t="s">
        <v>30</v>
      </c>
      <c r="B26" s="9" t="s">
        <v>31</v>
      </c>
      <c r="C26" s="10">
        <v>0</v>
      </c>
    </row>
    <row r="27" spans="1:3">
      <c r="A27" s="7" t="s">
        <v>32</v>
      </c>
      <c r="B27" s="5" t="s">
        <v>33</v>
      </c>
      <c r="C27" s="6"/>
    </row>
    <row r="28" spans="1:3">
      <c r="A28" s="7" t="s">
        <v>34</v>
      </c>
      <c r="B28" s="5" t="s">
        <v>35</v>
      </c>
      <c r="C28" s="6"/>
    </row>
    <row r="29" spans="1:3" ht="19.5" customHeight="1">
      <c r="A29" s="8" t="s">
        <v>36</v>
      </c>
      <c r="B29" s="16" t="s">
        <v>37</v>
      </c>
      <c r="C29" s="10">
        <v>333500</v>
      </c>
    </row>
    <row r="30" spans="1:3" ht="17.25" customHeight="1">
      <c r="A30" s="8" t="s">
        <v>38</v>
      </c>
      <c r="B30" s="16" t="s">
        <v>39</v>
      </c>
      <c r="C30" s="10"/>
    </row>
    <row r="31" spans="1:3">
      <c r="A31" s="7" t="s">
        <v>40</v>
      </c>
      <c r="B31" s="5" t="s">
        <v>41</v>
      </c>
      <c r="C31" s="6"/>
    </row>
    <row r="32" spans="1:3">
      <c r="A32" s="8" t="s">
        <v>42</v>
      </c>
      <c r="B32" s="16" t="s">
        <v>43</v>
      </c>
      <c r="C32" s="10">
        <v>857046.38</v>
      </c>
    </row>
    <row r="33" spans="1:4">
      <c r="A33" s="8" t="s">
        <v>44</v>
      </c>
      <c r="B33" s="16" t="s">
        <v>45</v>
      </c>
      <c r="C33" s="10">
        <v>877185.4</v>
      </c>
    </row>
    <row r="34" spans="1:4" ht="17.25" customHeight="1">
      <c r="A34" s="8" t="s">
        <v>46</v>
      </c>
      <c r="B34" s="16" t="s">
        <v>47</v>
      </c>
      <c r="C34" s="10">
        <v>105780.67</v>
      </c>
    </row>
    <row r="35" spans="1:4">
      <c r="A35" s="17"/>
      <c r="B35" s="5" t="s">
        <v>48</v>
      </c>
      <c r="C35" s="18">
        <f>SUM(C16:C34)</f>
        <v>14528236.57</v>
      </c>
    </row>
    <row r="36" spans="1:4">
      <c r="A36" s="19">
        <v>2.2000000000000002</v>
      </c>
      <c r="B36" s="5" t="s">
        <v>49</v>
      </c>
      <c r="C36" s="18"/>
    </row>
    <row r="37" spans="1:4">
      <c r="A37" s="19" t="s">
        <v>50</v>
      </c>
      <c r="B37" s="5" t="s">
        <v>51</v>
      </c>
      <c r="C37" s="18"/>
    </row>
    <row r="38" spans="1:4" ht="15.75" customHeight="1">
      <c r="A38" s="8" t="s">
        <v>52</v>
      </c>
      <c r="B38" s="9" t="s">
        <v>53</v>
      </c>
      <c r="C38" s="10">
        <v>677870.51</v>
      </c>
    </row>
    <row r="39" spans="1:4" ht="15.75" customHeight="1">
      <c r="A39" s="8" t="s">
        <v>54</v>
      </c>
      <c r="B39" s="9" t="s">
        <v>55</v>
      </c>
      <c r="C39" s="10">
        <v>268414.24</v>
      </c>
    </row>
    <row r="40" spans="1:4" ht="15.75" customHeight="1">
      <c r="A40" s="8" t="s">
        <v>56</v>
      </c>
      <c r="B40" s="9" t="s">
        <v>57</v>
      </c>
      <c r="C40" s="10">
        <v>875254.13</v>
      </c>
    </row>
    <row r="41" spans="1:4" ht="15.75" customHeight="1">
      <c r="A41" s="8" t="s">
        <v>58</v>
      </c>
      <c r="B41" s="9" t="s">
        <v>59</v>
      </c>
      <c r="C41" s="10">
        <v>665876.37</v>
      </c>
    </row>
    <row r="42" spans="1:4" ht="15.75" customHeight="1">
      <c r="A42" s="8" t="s">
        <v>60</v>
      </c>
      <c r="B42" s="9" t="s">
        <v>61</v>
      </c>
      <c r="C42" s="10"/>
      <c r="D42" s="20" t="s">
        <v>62</v>
      </c>
    </row>
    <row r="43" spans="1:4" ht="15.75" customHeight="1">
      <c r="A43" s="8" t="s">
        <v>63</v>
      </c>
      <c r="B43" s="9" t="s">
        <v>64</v>
      </c>
      <c r="C43" s="10"/>
    </row>
    <row r="44" spans="1:4" ht="15.75" customHeight="1">
      <c r="A44" s="19" t="s">
        <v>65</v>
      </c>
      <c r="B44" s="5" t="s">
        <v>66</v>
      </c>
      <c r="C44" s="18"/>
    </row>
    <row r="45" spans="1:4" ht="15.75" customHeight="1">
      <c r="A45" s="8" t="s">
        <v>67</v>
      </c>
      <c r="B45" s="9" t="s">
        <v>68</v>
      </c>
      <c r="C45" s="10"/>
    </row>
    <row r="46" spans="1:4" ht="15.75" customHeight="1">
      <c r="A46" s="8" t="s">
        <v>69</v>
      </c>
      <c r="B46" s="9" t="s">
        <v>70</v>
      </c>
      <c r="C46" s="10"/>
    </row>
    <row r="47" spans="1:4" ht="15.75" customHeight="1">
      <c r="A47" s="19" t="s">
        <v>71</v>
      </c>
      <c r="B47" s="5" t="s">
        <v>72</v>
      </c>
      <c r="C47" s="18"/>
    </row>
    <row r="48" spans="1:4" ht="15.75" customHeight="1">
      <c r="A48" s="8" t="s">
        <v>73</v>
      </c>
      <c r="B48" s="9" t="s">
        <v>74</v>
      </c>
      <c r="C48" s="10"/>
    </row>
    <row r="49" spans="1:3" ht="15.75" customHeight="1">
      <c r="A49" s="8" t="s">
        <v>75</v>
      </c>
      <c r="B49" s="9" t="s">
        <v>76</v>
      </c>
      <c r="C49" s="10"/>
    </row>
    <row r="50" spans="1:3" ht="15.75" customHeight="1">
      <c r="A50" s="19" t="s">
        <v>77</v>
      </c>
      <c r="B50" s="5" t="s">
        <v>78</v>
      </c>
      <c r="C50" s="18"/>
    </row>
    <row r="51" spans="1:3" ht="15.75" customHeight="1">
      <c r="A51" s="8" t="s">
        <v>79</v>
      </c>
      <c r="B51" s="9" t="s">
        <v>80</v>
      </c>
      <c r="C51" s="10"/>
    </row>
    <row r="52" spans="1:3" ht="15.75" customHeight="1">
      <c r="A52" s="8" t="s">
        <v>81</v>
      </c>
      <c r="B52" s="9" t="s">
        <v>82</v>
      </c>
      <c r="C52" s="10"/>
    </row>
    <row r="53" spans="1:3" ht="15.75" customHeight="1">
      <c r="A53" s="8" t="s">
        <v>83</v>
      </c>
      <c r="B53" s="9" t="s">
        <v>84</v>
      </c>
      <c r="C53" s="10"/>
    </row>
    <row r="54" spans="1:3" ht="15.75" customHeight="1">
      <c r="A54" s="8" t="s">
        <v>85</v>
      </c>
      <c r="B54" s="9" t="s">
        <v>86</v>
      </c>
      <c r="C54" s="10"/>
    </row>
    <row r="55" spans="1:3" ht="15.75" customHeight="1">
      <c r="A55" s="19" t="s">
        <v>87</v>
      </c>
      <c r="B55" s="5" t="s">
        <v>88</v>
      </c>
      <c r="C55" s="18"/>
    </row>
    <row r="56" spans="1:3" ht="15.75" customHeight="1">
      <c r="A56" s="8" t="s">
        <v>89</v>
      </c>
      <c r="B56" s="9" t="s">
        <v>90</v>
      </c>
      <c r="C56" s="10">
        <v>1670639.44</v>
      </c>
    </row>
    <row r="57" spans="1:3" ht="15.75" customHeight="1">
      <c r="A57" s="8" t="s">
        <v>91</v>
      </c>
      <c r="B57" s="9" t="s">
        <v>92</v>
      </c>
      <c r="C57" s="10"/>
    </row>
    <row r="58" spans="1:3" ht="15.75" customHeight="1">
      <c r="A58" s="8" t="s">
        <v>93</v>
      </c>
      <c r="B58" s="9" t="s">
        <v>94</v>
      </c>
      <c r="C58" s="10"/>
    </row>
    <row r="59" spans="1:3" ht="26.25" customHeight="1">
      <c r="A59" s="8" t="s">
        <v>95</v>
      </c>
      <c r="B59" s="16" t="s">
        <v>96</v>
      </c>
      <c r="C59" s="10"/>
    </row>
    <row r="60" spans="1:3" ht="15.75" customHeight="1">
      <c r="A60" s="8" t="s">
        <v>97</v>
      </c>
      <c r="B60" s="9" t="s">
        <v>98</v>
      </c>
      <c r="C60" s="10"/>
    </row>
    <row r="61" spans="1:3" ht="15.75" customHeight="1">
      <c r="A61" s="8" t="s">
        <v>99</v>
      </c>
      <c r="B61" s="9" t="s">
        <v>100</v>
      </c>
      <c r="C61" s="10"/>
    </row>
    <row r="62" spans="1:3" ht="15.75" customHeight="1">
      <c r="A62" s="19" t="s">
        <v>101</v>
      </c>
      <c r="B62" s="5" t="s">
        <v>102</v>
      </c>
      <c r="C62" s="18"/>
    </row>
    <row r="63" spans="1:3" ht="15.75" customHeight="1">
      <c r="A63" s="8" t="s">
        <v>103</v>
      </c>
      <c r="B63" s="9" t="s">
        <v>104</v>
      </c>
      <c r="C63" s="10"/>
    </row>
    <row r="64" spans="1:3" ht="15.75" customHeight="1">
      <c r="A64" s="8" t="s">
        <v>105</v>
      </c>
      <c r="B64" s="9" t="s">
        <v>106</v>
      </c>
      <c r="C64" s="10"/>
    </row>
    <row r="65" spans="1:3" ht="15.75" customHeight="1">
      <c r="A65" s="8" t="s">
        <v>107</v>
      </c>
      <c r="B65" s="9" t="s">
        <v>108</v>
      </c>
      <c r="C65" s="10">
        <v>1324897.3400000001</v>
      </c>
    </row>
    <row r="66" spans="1:3" ht="15.75" customHeight="1">
      <c r="A66" s="19" t="s">
        <v>109</v>
      </c>
      <c r="B66" s="5" t="s">
        <v>110</v>
      </c>
      <c r="C66" s="18"/>
    </row>
    <row r="67" spans="1:3" ht="15.75" customHeight="1">
      <c r="A67" s="8" t="s">
        <v>111</v>
      </c>
      <c r="B67" s="9" t="s">
        <v>112</v>
      </c>
      <c r="C67" s="10"/>
    </row>
    <row r="68" spans="1:3" ht="21.75" customHeight="1">
      <c r="A68" s="8" t="s">
        <v>113</v>
      </c>
      <c r="B68" s="16" t="s">
        <v>114</v>
      </c>
      <c r="C68" s="10"/>
    </row>
    <row r="69" spans="1:3" ht="29.25" customHeight="1">
      <c r="A69" s="8" t="s">
        <v>115</v>
      </c>
      <c r="B69" s="16" t="s">
        <v>116</v>
      </c>
      <c r="C69" s="10"/>
    </row>
    <row r="70" spans="1:3" ht="20.25" customHeight="1">
      <c r="A70" s="8" t="s">
        <v>117</v>
      </c>
      <c r="B70" s="16" t="s">
        <v>118</v>
      </c>
      <c r="C70" s="10"/>
    </row>
    <row r="71" spans="1:3" ht="15.75" customHeight="1">
      <c r="A71" s="8" t="s">
        <v>119</v>
      </c>
      <c r="B71" s="16" t="s">
        <v>120</v>
      </c>
      <c r="C71" s="10"/>
    </row>
    <row r="72" spans="1:3" ht="18.75" customHeight="1">
      <c r="A72" s="8" t="s">
        <v>121</v>
      </c>
      <c r="B72" s="16" t="s">
        <v>122</v>
      </c>
      <c r="C72" s="10"/>
    </row>
    <row r="73" spans="1:3" ht="20.25" customHeight="1">
      <c r="A73" s="8" t="s">
        <v>123</v>
      </c>
      <c r="B73" s="16" t="s">
        <v>124</v>
      </c>
      <c r="C73" s="10"/>
    </row>
    <row r="74" spans="1:3" ht="19.5" customHeight="1">
      <c r="A74" s="8" t="s">
        <v>125</v>
      </c>
      <c r="B74" s="16" t="s">
        <v>126</v>
      </c>
      <c r="C74" s="10"/>
    </row>
    <row r="75" spans="1:3" ht="15.75" customHeight="1">
      <c r="A75" s="8" t="s">
        <v>127</v>
      </c>
      <c r="B75" s="16" t="s">
        <v>128</v>
      </c>
      <c r="C75" s="10"/>
    </row>
    <row r="76" spans="1:3" ht="15.75" customHeight="1">
      <c r="A76" s="19" t="s">
        <v>129</v>
      </c>
      <c r="B76" s="5" t="s">
        <v>130</v>
      </c>
      <c r="C76" s="18"/>
    </row>
    <row r="77" spans="1:3" ht="15.75" customHeight="1">
      <c r="A77" s="8" t="s">
        <v>131</v>
      </c>
      <c r="B77" s="9" t="s">
        <v>132</v>
      </c>
      <c r="C77" s="10"/>
    </row>
    <row r="78" spans="1:3" ht="15.75" customHeight="1">
      <c r="A78" s="8" t="s">
        <v>133</v>
      </c>
      <c r="B78" s="9" t="s">
        <v>134</v>
      </c>
      <c r="C78" s="10"/>
    </row>
    <row r="79" spans="1:3" ht="15.75" customHeight="1">
      <c r="A79" s="8" t="s">
        <v>135</v>
      </c>
      <c r="B79" s="9" t="s">
        <v>136</v>
      </c>
      <c r="C79" s="10"/>
    </row>
    <row r="80" spans="1:3" ht="15.75" customHeight="1">
      <c r="A80" s="8" t="s">
        <v>137</v>
      </c>
      <c r="B80" s="9" t="s">
        <v>138</v>
      </c>
      <c r="C80" s="10"/>
    </row>
    <row r="81" spans="1:3" ht="15.75" customHeight="1">
      <c r="A81" s="8" t="s">
        <v>139</v>
      </c>
      <c r="B81" s="9" t="s">
        <v>140</v>
      </c>
      <c r="C81" s="10"/>
    </row>
    <row r="82" spans="1:3" ht="15.75" customHeight="1">
      <c r="A82" s="8" t="s">
        <v>141</v>
      </c>
      <c r="B82" s="9" t="s">
        <v>142</v>
      </c>
      <c r="C82" s="10"/>
    </row>
    <row r="83" spans="1:3" ht="15.75" customHeight="1">
      <c r="A83" s="8" t="s">
        <v>143</v>
      </c>
      <c r="B83" s="9" t="s">
        <v>144</v>
      </c>
      <c r="C83" s="10"/>
    </row>
    <row r="84" spans="1:3" ht="15.75" customHeight="1">
      <c r="A84" s="8" t="s">
        <v>145</v>
      </c>
      <c r="B84" s="9" t="s">
        <v>146</v>
      </c>
      <c r="C84" s="10"/>
    </row>
    <row r="85" spans="1:3" ht="15.75" customHeight="1">
      <c r="A85" s="8" t="s">
        <v>147</v>
      </c>
      <c r="B85" s="9" t="s">
        <v>148</v>
      </c>
      <c r="C85" s="10"/>
    </row>
    <row r="86" spans="1:3" ht="18" customHeight="1">
      <c r="A86" s="8" t="s">
        <v>149</v>
      </c>
      <c r="B86" s="16" t="s">
        <v>150</v>
      </c>
      <c r="C86" s="10"/>
    </row>
    <row r="87" spans="1:3" ht="15.75" customHeight="1">
      <c r="A87" s="8" t="s">
        <v>151</v>
      </c>
      <c r="B87" s="9" t="s">
        <v>152</v>
      </c>
      <c r="C87" s="10"/>
    </row>
    <row r="88" spans="1:3" ht="15.75" customHeight="1">
      <c r="A88" s="8" t="s">
        <v>153</v>
      </c>
      <c r="B88" s="9" t="s">
        <v>154</v>
      </c>
      <c r="C88" s="10"/>
    </row>
    <row r="89" spans="1:3" ht="15.75" customHeight="1">
      <c r="A89" s="8" t="s">
        <v>155</v>
      </c>
      <c r="B89" s="9" t="s">
        <v>156</v>
      </c>
      <c r="C89" s="10"/>
    </row>
    <row r="90" spans="1:3" ht="15.75" customHeight="1">
      <c r="A90" s="8" t="s">
        <v>157</v>
      </c>
      <c r="B90" s="9" t="s">
        <v>158</v>
      </c>
      <c r="C90" s="10"/>
    </row>
    <row r="91" spans="1:3" ht="15.75" customHeight="1">
      <c r="A91" s="19" t="s">
        <v>159</v>
      </c>
      <c r="B91" s="5" t="s">
        <v>160</v>
      </c>
      <c r="C91" s="18"/>
    </row>
    <row r="92" spans="1:3" ht="15.75" customHeight="1">
      <c r="A92" s="8" t="s">
        <v>161</v>
      </c>
      <c r="B92" s="9" t="s">
        <v>162</v>
      </c>
      <c r="C92" s="10"/>
    </row>
    <row r="93" spans="1:3" ht="15.75" customHeight="1">
      <c r="A93" s="17"/>
      <c r="B93" s="21" t="s">
        <v>163</v>
      </c>
      <c r="C93" s="22">
        <f t="shared" ref="C93" si="0">SUM(C38:C89)</f>
        <v>5482952.0300000003</v>
      </c>
    </row>
    <row r="94" spans="1:3" ht="15.75" customHeight="1">
      <c r="A94" s="23">
        <v>2.2999999999999998</v>
      </c>
      <c r="B94" s="21" t="s">
        <v>164</v>
      </c>
      <c r="C94" s="22"/>
    </row>
    <row r="95" spans="1:3" ht="15.75" customHeight="1">
      <c r="A95" s="17" t="s">
        <v>165</v>
      </c>
      <c r="B95" s="21" t="s">
        <v>166</v>
      </c>
      <c r="C95" s="22"/>
    </row>
    <row r="96" spans="1:3" ht="15.75" customHeight="1">
      <c r="A96" s="8" t="s">
        <v>167</v>
      </c>
      <c r="B96" s="9" t="s">
        <v>168</v>
      </c>
      <c r="C96" s="24"/>
    </row>
    <row r="97" spans="1:3" ht="15.75" customHeight="1">
      <c r="A97" s="8" t="s">
        <v>169</v>
      </c>
      <c r="B97" s="9" t="s">
        <v>170</v>
      </c>
      <c r="C97" s="10"/>
    </row>
    <row r="98" spans="1:3" ht="15.75" customHeight="1">
      <c r="A98" s="8" t="s">
        <v>171</v>
      </c>
      <c r="B98" s="9" t="s">
        <v>172</v>
      </c>
      <c r="C98" s="10"/>
    </row>
    <row r="99" spans="1:3" ht="15.75" customHeight="1">
      <c r="A99" s="19" t="s">
        <v>173</v>
      </c>
      <c r="B99" s="5" t="s">
        <v>174</v>
      </c>
      <c r="C99" s="18"/>
    </row>
    <row r="100" spans="1:3" ht="15.75" customHeight="1">
      <c r="A100" s="8" t="s">
        <v>175</v>
      </c>
      <c r="B100" s="9" t="s">
        <v>176</v>
      </c>
      <c r="C100" s="10"/>
    </row>
    <row r="101" spans="1:3" ht="15.75" customHeight="1">
      <c r="A101" s="8" t="s">
        <v>177</v>
      </c>
      <c r="B101" s="9" t="s">
        <v>178</v>
      </c>
      <c r="C101" s="10"/>
    </row>
    <row r="102" spans="1:3" ht="15.75" customHeight="1">
      <c r="A102" s="8" t="s">
        <v>179</v>
      </c>
      <c r="B102" s="9" t="s">
        <v>180</v>
      </c>
      <c r="C102" s="10"/>
    </row>
    <row r="103" spans="1:3" ht="15.75" customHeight="1">
      <c r="A103" s="8" t="s">
        <v>181</v>
      </c>
      <c r="B103" s="9" t="s">
        <v>182</v>
      </c>
      <c r="C103" s="10"/>
    </row>
    <row r="104" spans="1:3" ht="15.75" customHeight="1">
      <c r="A104" s="19" t="s">
        <v>183</v>
      </c>
      <c r="B104" s="5" t="s">
        <v>184</v>
      </c>
      <c r="C104" s="18"/>
    </row>
    <row r="105" spans="1:3" ht="15.75" customHeight="1">
      <c r="A105" s="8" t="s">
        <v>185</v>
      </c>
      <c r="B105" s="9" t="s">
        <v>186</v>
      </c>
      <c r="C105" s="10"/>
    </row>
    <row r="106" spans="1:3" ht="15.75" customHeight="1">
      <c r="A106" s="8" t="s">
        <v>187</v>
      </c>
      <c r="B106" s="9" t="s">
        <v>188</v>
      </c>
      <c r="C106" s="10"/>
    </row>
    <row r="107" spans="1:3" ht="15.75" customHeight="1">
      <c r="A107" s="8" t="s">
        <v>189</v>
      </c>
      <c r="B107" s="9" t="s">
        <v>190</v>
      </c>
      <c r="C107" s="10"/>
    </row>
    <row r="108" spans="1:3" ht="15.75" customHeight="1">
      <c r="A108" s="8" t="s">
        <v>191</v>
      </c>
      <c r="B108" s="9" t="s">
        <v>192</v>
      </c>
      <c r="C108" s="10"/>
    </row>
    <row r="109" spans="1:3" ht="15.75" customHeight="1">
      <c r="A109" s="8" t="s">
        <v>193</v>
      </c>
      <c r="B109" s="9" t="s">
        <v>194</v>
      </c>
      <c r="C109" s="10"/>
    </row>
    <row r="110" spans="1:3" ht="15.75" customHeight="1">
      <c r="A110" s="19" t="s">
        <v>195</v>
      </c>
      <c r="B110" s="5" t="s">
        <v>196</v>
      </c>
      <c r="C110" s="18"/>
    </row>
    <row r="111" spans="1:3" ht="18" customHeight="1">
      <c r="A111" s="8" t="s">
        <v>197</v>
      </c>
      <c r="B111" s="16" t="s">
        <v>198</v>
      </c>
      <c r="C111" s="10"/>
    </row>
    <row r="112" spans="1:3" ht="27.75" customHeight="1">
      <c r="A112" s="19" t="s">
        <v>199</v>
      </c>
      <c r="B112" s="5" t="s">
        <v>200</v>
      </c>
      <c r="C112" s="18"/>
    </row>
    <row r="113" spans="1:3" ht="15.75" customHeight="1">
      <c r="A113" s="8" t="s">
        <v>201</v>
      </c>
      <c r="B113" s="9" t="s">
        <v>202</v>
      </c>
      <c r="C113" s="10"/>
    </row>
    <row r="114" spans="1:3" ht="15.75" customHeight="1">
      <c r="A114" s="8" t="s">
        <v>203</v>
      </c>
      <c r="B114" s="9" t="s">
        <v>204</v>
      </c>
      <c r="C114" s="10"/>
    </row>
    <row r="115" spans="1:3" ht="15.75" customHeight="1">
      <c r="A115" s="8" t="s">
        <v>205</v>
      </c>
      <c r="B115" s="9" t="s">
        <v>206</v>
      </c>
      <c r="C115" s="10"/>
    </row>
    <row r="116" spans="1:3" ht="15.75" customHeight="1">
      <c r="A116" s="8" t="s">
        <v>207</v>
      </c>
      <c r="B116" s="9" t="s">
        <v>208</v>
      </c>
      <c r="C116" s="10"/>
    </row>
    <row r="117" spans="1:3" ht="15.75" customHeight="1">
      <c r="A117" s="8" t="s">
        <v>209</v>
      </c>
      <c r="B117" s="9" t="s">
        <v>210</v>
      </c>
      <c r="C117" s="10"/>
    </row>
    <row r="118" spans="1:3" ht="15.75" customHeight="1">
      <c r="A118" s="19" t="s">
        <v>211</v>
      </c>
      <c r="B118" s="5" t="s">
        <v>212</v>
      </c>
      <c r="C118" s="18"/>
    </row>
    <row r="119" spans="1:3" ht="15.75" customHeight="1">
      <c r="A119" s="8" t="s">
        <v>213</v>
      </c>
      <c r="B119" s="9" t="s">
        <v>214</v>
      </c>
      <c r="C119" s="10"/>
    </row>
    <row r="120" spans="1:3" ht="15.75" customHeight="1">
      <c r="A120" s="8" t="s">
        <v>215</v>
      </c>
      <c r="B120" s="9" t="s">
        <v>216</v>
      </c>
      <c r="C120" s="10"/>
    </row>
    <row r="121" spans="1:3" ht="15.75" customHeight="1">
      <c r="A121" s="8" t="s">
        <v>217</v>
      </c>
      <c r="B121" s="9" t="s">
        <v>218</v>
      </c>
      <c r="C121" s="10"/>
    </row>
    <row r="122" spans="1:3" ht="15.75" customHeight="1">
      <c r="A122" s="8" t="s">
        <v>219</v>
      </c>
      <c r="B122" s="9" t="s">
        <v>220</v>
      </c>
      <c r="C122" s="10"/>
    </row>
    <row r="123" spans="1:3" ht="15.75" customHeight="1">
      <c r="A123" s="8" t="s">
        <v>221</v>
      </c>
      <c r="B123" s="9" t="s">
        <v>222</v>
      </c>
      <c r="C123" s="10"/>
    </row>
    <row r="124" spans="1:3" ht="15.75" customHeight="1">
      <c r="A124" s="8" t="s">
        <v>223</v>
      </c>
      <c r="B124" s="9" t="s">
        <v>224</v>
      </c>
      <c r="C124" s="10"/>
    </row>
    <row r="125" spans="1:3" ht="15.75" customHeight="1">
      <c r="A125" s="8" t="s">
        <v>225</v>
      </c>
      <c r="B125" s="9" t="s">
        <v>226</v>
      </c>
      <c r="C125" s="10"/>
    </row>
    <row r="126" spans="1:3" ht="15.75" customHeight="1">
      <c r="A126" s="8" t="s">
        <v>227</v>
      </c>
      <c r="B126" s="9" t="s">
        <v>228</v>
      </c>
      <c r="C126" s="10"/>
    </row>
    <row r="127" spans="1:3" ht="15.75" customHeight="1">
      <c r="A127" s="8" t="s">
        <v>229</v>
      </c>
      <c r="B127" s="9" t="s">
        <v>230</v>
      </c>
      <c r="C127" s="10"/>
    </row>
    <row r="128" spans="1:3" ht="15.75" customHeight="1">
      <c r="A128" s="8" t="s">
        <v>231</v>
      </c>
      <c r="B128" s="9" t="s">
        <v>232</v>
      </c>
      <c r="C128" s="10"/>
    </row>
    <row r="129" spans="1:3" ht="15.75" customHeight="1">
      <c r="A129" s="8" t="s">
        <v>233</v>
      </c>
      <c r="B129" s="9" t="s">
        <v>234</v>
      </c>
      <c r="C129" s="10"/>
    </row>
    <row r="130" spans="1:3" ht="15.75" customHeight="1">
      <c r="A130" s="8" t="s">
        <v>235</v>
      </c>
      <c r="B130" s="9" t="s">
        <v>236</v>
      </c>
      <c r="C130" s="10"/>
    </row>
    <row r="131" spans="1:3" ht="15.75" customHeight="1">
      <c r="A131" s="19" t="s">
        <v>237</v>
      </c>
      <c r="B131" s="5" t="s">
        <v>238</v>
      </c>
      <c r="C131" s="18"/>
    </row>
    <row r="132" spans="1:3" ht="15.75" customHeight="1">
      <c r="A132" s="8" t="s">
        <v>239</v>
      </c>
      <c r="B132" s="9" t="s">
        <v>240</v>
      </c>
      <c r="C132" s="10"/>
    </row>
    <row r="133" spans="1:3" ht="15.75" customHeight="1">
      <c r="A133" s="8" t="s">
        <v>241</v>
      </c>
      <c r="B133" s="9" t="s">
        <v>242</v>
      </c>
      <c r="C133" s="10"/>
    </row>
    <row r="134" spans="1:3" ht="15.75" customHeight="1">
      <c r="A134" s="8" t="s">
        <v>243</v>
      </c>
      <c r="B134" s="9" t="s">
        <v>244</v>
      </c>
      <c r="C134" s="10"/>
    </row>
    <row r="135" spans="1:3" ht="15.75" customHeight="1">
      <c r="A135" s="8" t="s">
        <v>245</v>
      </c>
      <c r="B135" s="9" t="s">
        <v>246</v>
      </c>
      <c r="C135" s="10"/>
    </row>
    <row r="136" spans="1:3" ht="15.75" customHeight="1">
      <c r="A136" s="8" t="s">
        <v>247</v>
      </c>
      <c r="B136" s="9" t="s">
        <v>248</v>
      </c>
      <c r="C136" s="10"/>
    </row>
    <row r="137" spans="1:3" ht="15.75" customHeight="1">
      <c r="A137" s="8" t="s">
        <v>249</v>
      </c>
      <c r="B137" s="9" t="s">
        <v>250</v>
      </c>
      <c r="C137" s="10"/>
    </row>
    <row r="138" spans="1:3" ht="15.75" customHeight="1">
      <c r="A138" s="8" t="s">
        <v>251</v>
      </c>
      <c r="B138" s="9" t="s">
        <v>252</v>
      </c>
      <c r="C138" s="10"/>
    </row>
    <row r="139" spans="1:3" ht="15.75" customHeight="1">
      <c r="A139" s="8" t="s">
        <v>253</v>
      </c>
      <c r="B139" s="9" t="s">
        <v>254</v>
      </c>
      <c r="C139" s="10"/>
    </row>
    <row r="140" spans="1:3" ht="15.75" customHeight="1">
      <c r="A140" s="8" t="s">
        <v>255</v>
      </c>
      <c r="B140" s="9" t="s">
        <v>256</v>
      </c>
      <c r="C140" s="10"/>
    </row>
    <row r="141" spans="1:3" ht="15.75" customHeight="1">
      <c r="A141" s="8" t="s">
        <v>257</v>
      </c>
      <c r="B141" s="9" t="s">
        <v>258</v>
      </c>
      <c r="C141" s="10"/>
    </row>
    <row r="142" spans="1:3" ht="15.75" customHeight="1">
      <c r="A142" s="8" t="s">
        <v>259</v>
      </c>
      <c r="B142" s="9" t="s">
        <v>260</v>
      </c>
      <c r="C142" s="10"/>
    </row>
    <row r="143" spans="1:3" ht="15.75" customHeight="1">
      <c r="A143" s="8" t="s">
        <v>261</v>
      </c>
      <c r="B143" s="9" t="s">
        <v>262</v>
      </c>
      <c r="C143" s="10"/>
    </row>
    <row r="144" spans="1:3" ht="15.75" customHeight="1">
      <c r="A144" s="19" t="s">
        <v>263</v>
      </c>
      <c r="B144" s="5" t="s">
        <v>264</v>
      </c>
      <c r="C144" s="18"/>
    </row>
    <row r="145" spans="1:3" ht="15.75" customHeight="1">
      <c r="A145" s="8" t="s">
        <v>265</v>
      </c>
      <c r="B145" s="9" t="s">
        <v>266</v>
      </c>
      <c r="C145" s="10"/>
    </row>
    <row r="146" spans="1:3" ht="16.5" customHeight="1">
      <c r="A146" s="8" t="s">
        <v>267</v>
      </c>
      <c r="B146" s="16" t="s">
        <v>268</v>
      </c>
      <c r="C146" s="10"/>
    </row>
    <row r="147" spans="1:3" ht="16.5" customHeight="1">
      <c r="A147" s="8" t="s">
        <v>269</v>
      </c>
      <c r="B147" s="16" t="s">
        <v>270</v>
      </c>
      <c r="C147" s="10"/>
    </row>
    <row r="148" spans="1:3" ht="16.5" customHeight="1">
      <c r="A148" s="8" t="s">
        <v>271</v>
      </c>
      <c r="B148" s="16" t="s">
        <v>272</v>
      </c>
      <c r="C148" s="10"/>
    </row>
    <row r="149" spans="1:3" ht="15.75" customHeight="1">
      <c r="A149" s="8" t="s">
        <v>273</v>
      </c>
      <c r="B149" s="16" t="s">
        <v>274</v>
      </c>
      <c r="C149" s="10"/>
    </row>
    <row r="150" spans="1:3" ht="15.75" customHeight="1">
      <c r="A150" s="8" t="s">
        <v>275</v>
      </c>
      <c r="B150" s="9" t="s">
        <v>276</v>
      </c>
      <c r="C150" s="10"/>
    </row>
    <row r="151" spans="1:3" ht="15.75" customHeight="1">
      <c r="A151" s="8" t="s">
        <v>277</v>
      </c>
      <c r="B151" s="9" t="s">
        <v>278</v>
      </c>
      <c r="C151" s="10"/>
    </row>
    <row r="152" spans="1:3" ht="15.75" customHeight="1">
      <c r="A152" s="8" t="s">
        <v>279</v>
      </c>
      <c r="B152" s="9" t="s">
        <v>280</v>
      </c>
      <c r="C152" s="10"/>
    </row>
    <row r="153" spans="1:3" ht="15.75" customHeight="1">
      <c r="A153" s="8" t="s">
        <v>281</v>
      </c>
      <c r="B153" s="9" t="s">
        <v>282</v>
      </c>
      <c r="C153" s="10"/>
    </row>
    <row r="154" spans="1:3" ht="15.75" customHeight="1">
      <c r="A154" s="8" t="s">
        <v>283</v>
      </c>
      <c r="B154" s="9" t="s">
        <v>284</v>
      </c>
      <c r="C154" s="10"/>
    </row>
    <row r="155" spans="1:3" ht="15.75" customHeight="1">
      <c r="A155" s="8" t="s">
        <v>285</v>
      </c>
      <c r="B155" s="9" t="s">
        <v>286</v>
      </c>
      <c r="C155" s="10"/>
    </row>
    <row r="156" spans="1:3" ht="15.75" customHeight="1">
      <c r="A156" s="17"/>
      <c r="B156" s="21" t="s">
        <v>287</v>
      </c>
      <c r="C156" s="22">
        <f t="shared" ref="C156" si="1">SUM(C96:C153)</f>
        <v>0</v>
      </c>
    </row>
    <row r="157" spans="1:3" ht="15.75" customHeight="1">
      <c r="A157" s="19">
        <v>2.4</v>
      </c>
      <c r="B157" s="21" t="s">
        <v>288</v>
      </c>
      <c r="C157" s="22"/>
    </row>
    <row r="158" spans="1:3" ht="15.75" customHeight="1">
      <c r="A158" s="17" t="s">
        <v>289</v>
      </c>
      <c r="B158" s="21" t="s">
        <v>290</v>
      </c>
      <c r="C158" s="22"/>
    </row>
    <row r="159" spans="1:3" ht="15.75" customHeight="1">
      <c r="A159" s="8" t="s">
        <v>291</v>
      </c>
      <c r="B159" s="25" t="s">
        <v>292</v>
      </c>
      <c r="C159" s="10"/>
    </row>
    <row r="160" spans="1:3" ht="15.75" customHeight="1">
      <c r="A160" s="8" t="s">
        <v>293</v>
      </c>
      <c r="B160" s="25" t="s">
        <v>294</v>
      </c>
      <c r="C160" s="10"/>
    </row>
    <row r="161" spans="1:6" ht="15.75" customHeight="1">
      <c r="A161" s="26"/>
      <c r="B161" s="21" t="s">
        <v>295</v>
      </c>
      <c r="C161" s="22">
        <f t="shared" ref="C161" si="2">SUM(C159:C160)</f>
        <v>0</v>
      </c>
    </row>
    <row r="162" spans="1:6" ht="15.75" customHeight="1">
      <c r="A162" s="19">
        <v>2.6</v>
      </c>
      <c r="B162" s="21" t="s">
        <v>296</v>
      </c>
      <c r="C162" s="22"/>
    </row>
    <row r="163" spans="1:6" ht="15.75" customHeight="1">
      <c r="A163" s="26" t="s">
        <v>297</v>
      </c>
      <c r="B163" s="21" t="s">
        <v>298</v>
      </c>
      <c r="C163" s="22"/>
    </row>
    <row r="164" spans="1:6" ht="15.75" customHeight="1">
      <c r="A164" s="8" t="s">
        <v>299</v>
      </c>
      <c r="B164" s="25" t="s">
        <v>298</v>
      </c>
      <c r="C164" s="10">
        <v>31258.2</v>
      </c>
    </row>
    <row r="165" spans="1:6" ht="15.75" customHeight="1">
      <c r="A165" s="8" t="s">
        <v>300</v>
      </c>
      <c r="B165" s="25" t="s">
        <v>301</v>
      </c>
      <c r="C165" s="10"/>
    </row>
    <row r="166" spans="1:6" ht="15.75" customHeight="1">
      <c r="A166" s="8" t="s">
        <v>302</v>
      </c>
      <c r="B166" s="25" t="s">
        <v>303</v>
      </c>
      <c r="C166" s="10"/>
    </row>
    <row r="167" spans="1:6" ht="15.75" customHeight="1">
      <c r="A167" s="8" t="s">
        <v>304</v>
      </c>
      <c r="B167" s="25" t="s">
        <v>305</v>
      </c>
      <c r="C167" s="10"/>
      <c r="F167" s="27"/>
    </row>
    <row r="168" spans="1:6" ht="15.75" customHeight="1">
      <c r="A168" s="19" t="s">
        <v>306</v>
      </c>
      <c r="B168" s="5" t="s">
        <v>307</v>
      </c>
      <c r="C168" s="18"/>
    </row>
    <row r="169" spans="1:6" ht="15.75" customHeight="1">
      <c r="A169" s="8" t="s">
        <v>308</v>
      </c>
      <c r="B169" s="25" t="s">
        <v>309</v>
      </c>
      <c r="C169" s="10"/>
      <c r="F169" s="27"/>
    </row>
    <row r="170" spans="1:6" ht="15.75" customHeight="1">
      <c r="A170" s="19" t="s">
        <v>310</v>
      </c>
      <c r="B170" s="5" t="s">
        <v>311</v>
      </c>
      <c r="C170" s="18"/>
    </row>
    <row r="171" spans="1:6" ht="15.75" customHeight="1">
      <c r="A171" s="8" t="s">
        <v>312</v>
      </c>
      <c r="B171" s="25" t="s">
        <v>313</v>
      </c>
      <c r="C171" s="10"/>
    </row>
    <row r="172" spans="1:6" ht="15.75" customHeight="1">
      <c r="A172" s="19" t="s">
        <v>314</v>
      </c>
      <c r="B172" s="5" t="s">
        <v>315</v>
      </c>
      <c r="C172" s="18"/>
    </row>
    <row r="173" spans="1:6" ht="15.75" customHeight="1">
      <c r="A173" s="8" t="s">
        <v>316</v>
      </c>
      <c r="B173" s="25" t="s">
        <v>317</v>
      </c>
      <c r="C173" s="10"/>
    </row>
    <row r="174" spans="1:6" ht="15.75" customHeight="1">
      <c r="A174" s="28" t="s">
        <v>318</v>
      </c>
      <c r="B174" s="25" t="s">
        <v>319</v>
      </c>
      <c r="C174" s="29"/>
    </row>
    <row r="175" spans="1:6" ht="15.75" customHeight="1">
      <c r="A175" s="30"/>
      <c r="B175" s="21" t="s">
        <v>320</v>
      </c>
      <c r="C175" s="31">
        <f>SUM(C164:C174)</f>
        <v>31258.2</v>
      </c>
    </row>
    <row r="176" spans="1:6" ht="19.5" customHeight="1" thickBot="1">
      <c r="A176" s="32"/>
      <c r="B176" s="33" t="s">
        <v>321</v>
      </c>
      <c r="C176" s="34">
        <f>C93+C35+C156+C175+C160+C159</f>
        <v>20042446.800000001</v>
      </c>
    </row>
    <row r="177" spans="1:4" ht="15.75" customHeight="1" thickTop="1">
      <c r="B177" s="35"/>
    </row>
    <row r="178" spans="1:4" ht="15.75" customHeight="1"/>
    <row r="179" spans="1:4" ht="15.75" customHeight="1">
      <c r="A179" s="98" t="s">
        <v>352</v>
      </c>
      <c r="B179" s="99"/>
      <c r="C179" s="99"/>
    </row>
    <row r="180" spans="1:4" ht="9" customHeight="1">
      <c r="A180" s="95" t="s">
        <v>353</v>
      </c>
      <c r="B180" s="95"/>
      <c r="C180" s="95"/>
    </row>
    <row r="181" spans="1:4" ht="18.75" customHeight="1">
      <c r="A181" s="95"/>
      <c r="B181" s="95"/>
      <c r="C181" s="95"/>
    </row>
    <row r="182" spans="1:4" ht="42.75" customHeight="1">
      <c r="A182" s="96" t="s">
        <v>354</v>
      </c>
      <c r="B182" s="97"/>
      <c r="C182" s="97"/>
      <c r="D182" s="97"/>
    </row>
    <row r="183" spans="1:4" ht="15.75" customHeight="1">
      <c r="A183" s="97" t="s">
        <v>351</v>
      </c>
      <c r="B183" s="97"/>
      <c r="C183" s="97"/>
    </row>
    <row r="184" spans="1:4" ht="15.75" customHeight="1">
      <c r="A184" s="94"/>
      <c r="B184" s="94"/>
      <c r="C184" s="94"/>
    </row>
    <row r="185" spans="1:4" ht="15.75" customHeight="1">
      <c r="A185" s="94"/>
      <c r="B185" s="94"/>
      <c r="C185" s="94"/>
    </row>
    <row r="186" spans="1:4" ht="15.75" customHeight="1"/>
    <row r="187" spans="1:4" ht="15.75" customHeight="1"/>
    <row r="188" spans="1:4" ht="15.75" customHeight="1"/>
    <row r="189" spans="1:4" ht="15.75" customHeight="1"/>
    <row r="190" spans="1:4" ht="15.75" customHeight="1">
      <c r="A190" s="36" t="s">
        <v>322</v>
      </c>
    </row>
    <row r="191" spans="1:4" ht="15.75" customHeight="1">
      <c r="A191" s="38" t="s">
        <v>323</v>
      </c>
    </row>
    <row r="192" spans="1:4" ht="15.75" customHeight="1">
      <c r="A192" s="37" t="s">
        <v>324</v>
      </c>
    </row>
    <row r="193" spans="1:1" ht="15.75" customHeight="1">
      <c r="A193" s="37" t="s">
        <v>325</v>
      </c>
    </row>
    <row r="194" spans="1:1" ht="15.75" customHeight="1"/>
    <row r="195" spans="1:1" ht="15.75" customHeight="1"/>
    <row r="196" spans="1:1" ht="15.75" customHeight="1"/>
    <row r="197" spans="1:1" ht="15.75" customHeight="1"/>
    <row r="198" spans="1:1" ht="15.75" customHeight="1"/>
    <row r="199" spans="1:1" ht="15.75" customHeight="1"/>
    <row r="200" spans="1:1" ht="15.75" customHeight="1"/>
    <row r="201" spans="1:1" ht="15.75" customHeight="1"/>
    <row r="202" spans="1:1" ht="15.75" customHeight="1"/>
    <row r="203" spans="1:1" ht="15.75" customHeight="1"/>
    <row r="204" spans="1:1" ht="15.75" customHeight="1"/>
    <row r="205" spans="1:1" ht="15.75" customHeight="1"/>
    <row r="206" spans="1:1" ht="15.75" customHeight="1"/>
    <row r="207" spans="1:1" ht="15.75" customHeight="1"/>
    <row r="208" spans="1:1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</sheetData>
  <mergeCells count="11">
    <mergeCell ref="A184:C184"/>
    <mergeCell ref="A185:C185"/>
    <mergeCell ref="A180:C181"/>
    <mergeCell ref="A182:D182"/>
    <mergeCell ref="A179:C179"/>
    <mergeCell ref="A183:C183"/>
    <mergeCell ref="A7:C7"/>
    <mergeCell ref="A8:C8"/>
    <mergeCell ref="A9:C9"/>
    <mergeCell ref="A10:C10"/>
    <mergeCell ref="A11:B11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C0D41-500E-4F4A-8137-70D7D4667782}">
  <dimension ref="A3:S144"/>
  <sheetViews>
    <sheetView tabSelected="1" topLeftCell="E131" zoomScale="145" zoomScaleNormal="145" workbookViewId="0">
      <selection activeCell="G137" sqref="G137:I143"/>
    </sheetView>
  </sheetViews>
  <sheetFormatPr defaultColWidth="12.625" defaultRowHeight="15" customHeight="1"/>
  <cols>
    <col min="1" max="1" width="9.625" style="39" customWidth="1"/>
    <col min="2" max="2" width="28.5" style="39" customWidth="1"/>
    <col min="3" max="3" width="14.75" style="39" customWidth="1"/>
    <col min="4" max="4" width="12.25" style="39" customWidth="1"/>
    <col min="5" max="5" width="12.375" style="39" customWidth="1"/>
    <col min="6" max="6" width="14.25" style="39" customWidth="1"/>
    <col min="7" max="7" width="13.625" style="39" customWidth="1"/>
    <col min="8" max="8" width="13.375" style="39" customWidth="1"/>
    <col min="9" max="9" width="12.875" style="39" customWidth="1"/>
    <col min="10" max="10" width="13.125" style="39" customWidth="1"/>
    <col min="11" max="11" width="14.25" style="39" customWidth="1"/>
    <col min="12" max="13" width="12.625" style="39" hidden="1" customWidth="1"/>
    <col min="14" max="14" width="12.125" style="39" hidden="1" customWidth="1"/>
    <col min="15" max="15" width="5.125" style="39" hidden="1" customWidth="1"/>
    <col min="16" max="16" width="14.875" style="39" customWidth="1"/>
    <col min="17" max="17" width="14.5" style="39" customWidth="1"/>
    <col min="18" max="18" width="10" style="39" customWidth="1"/>
    <col min="19" max="19" width="12.125" style="39" customWidth="1"/>
    <col min="20" max="34" width="10" style="39" customWidth="1"/>
    <col min="35" max="16384" width="12.625" style="39"/>
  </cols>
  <sheetData>
    <row r="3" spans="1:19" ht="16.5" customHeight="1">
      <c r="A3" s="100"/>
      <c r="B3" s="101"/>
      <c r="C3" s="101"/>
    </row>
    <row r="4" spans="1:19" ht="2.25" customHeight="1">
      <c r="A4" s="100" t="s">
        <v>4</v>
      </c>
      <c r="B4" s="101"/>
      <c r="C4" s="101"/>
    </row>
    <row r="5" spans="1:19" ht="42" customHeight="1" thickBot="1">
      <c r="A5" s="102" t="s">
        <v>326</v>
      </c>
      <c r="B5" s="102"/>
      <c r="L5" s="40"/>
      <c r="P5" s="41"/>
    </row>
    <row r="6" spans="1:19" ht="36" customHeight="1">
      <c r="A6" s="42" t="s">
        <v>327</v>
      </c>
      <c r="B6" s="43" t="s">
        <v>328</v>
      </c>
      <c r="C6" s="44" t="s">
        <v>329</v>
      </c>
      <c r="D6" s="45">
        <v>44562</v>
      </c>
      <c r="E6" s="45">
        <v>44593</v>
      </c>
      <c r="F6" s="45">
        <v>44621</v>
      </c>
      <c r="G6" s="45">
        <v>44652</v>
      </c>
      <c r="H6" s="45">
        <v>44682</v>
      </c>
      <c r="I6" s="45">
        <v>44713</v>
      </c>
      <c r="J6" s="45">
        <v>44743</v>
      </c>
      <c r="K6" s="45">
        <v>44774</v>
      </c>
      <c r="L6" s="45">
        <v>44805</v>
      </c>
      <c r="M6" s="45">
        <v>44835</v>
      </c>
      <c r="N6" s="45">
        <v>44866</v>
      </c>
      <c r="O6" s="45">
        <v>44896</v>
      </c>
      <c r="P6" s="46" t="s">
        <v>330</v>
      </c>
      <c r="Q6" s="46" t="s">
        <v>331</v>
      </c>
    </row>
    <row r="7" spans="1:19" s="53" customFormat="1" ht="14.25" customHeight="1">
      <c r="A7" s="47" t="s">
        <v>13</v>
      </c>
      <c r="B7" s="48" t="s">
        <v>14</v>
      </c>
      <c r="C7" s="49">
        <v>137182381</v>
      </c>
      <c r="D7" s="49">
        <f>1735236.23+3080090.98+1838255.02</f>
        <v>6653582.2300000004</v>
      </c>
      <c r="E7" s="49">
        <f>6713582.23+4388500</f>
        <v>11102082.23</v>
      </c>
      <c r="F7" s="49">
        <v>11107126.189999999</v>
      </c>
      <c r="G7" s="49">
        <v>11112912.18</v>
      </c>
      <c r="H7" s="49">
        <f>3082086.23+4322789.24+3747755.02+70666.67</f>
        <v>11223297.16</v>
      </c>
      <c r="I7" s="49">
        <v>11312997.65</v>
      </c>
      <c r="J7" s="49">
        <f>11431330.98+60000</f>
        <v>11491330.98</v>
      </c>
      <c r="K7" s="49">
        <v>11833724.119999999</v>
      </c>
      <c r="L7" s="49"/>
      <c r="M7" s="49">
        <v>0</v>
      </c>
      <c r="N7" s="49">
        <v>0</v>
      </c>
      <c r="O7" s="49">
        <v>0</v>
      </c>
      <c r="P7" s="50">
        <f>SUM(D7:O7)</f>
        <v>85837052.739999995</v>
      </c>
      <c r="Q7" s="51">
        <f>C7-P7</f>
        <v>51345328.260000005</v>
      </c>
      <c r="R7" s="52"/>
      <c r="S7" s="52"/>
    </row>
    <row r="8" spans="1:19" s="53" customFormat="1" ht="14.25" customHeight="1">
      <c r="A8" s="47" t="s">
        <v>20</v>
      </c>
      <c r="B8" s="48" t="s">
        <v>21</v>
      </c>
      <c r="C8" s="49">
        <v>550340</v>
      </c>
      <c r="D8" s="49">
        <v>20000</v>
      </c>
      <c r="E8" s="49">
        <v>20000</v>
      </c>
      <c r="F8" s="49">
        <v>20000</v>
      </c>
      <c r="G8" s="49">
        <v>20000</v>
      </c>
      <c r="H8" s="49">
        <v>20000</v>
      </c>
      <c r="I8" s="49">
        <v>20000</v>
      </c>
      <c r="J8" s="49">
        <v>18000</v>
      </c>
      <c r="K8" s="49">
        <v>20000</v>
      </c>
      <c r="L8" s="49"/>
      <c r="M8" s="49">
        <v>0</v>
      </c>
      <c r="N8" s="49">
        <v>0</v>
      </c>
      <c r="O8" s="49">
        <v>0</v>
      </c>
      <c r="P8" s="50">
        <f>SUM(D8:O8)</f>
        <v>158000</v>
      </c>
      <c r="Q8" s="51">
        <f t="shared" ref="Q8:Q17" si="0">C8-P8</f>
        <v>392340</v>
      </c>
    </row>
    <row r="9" spans="1:19" s="53" customFormat="1" ht="14.25" customHeight="1">
      <c r="A9" s="47" t="s">
        <v>22</v>
      </c>
      <c r="B9" s="48" t="s">
        <v>332</v>
      </c>
      <c r="C9" s="49">
        <v>5116000</v>
      </c>
      <c r="D9" s="49"/>
      <c r="E9" s="49"/>
      <c r="F9" s="49">
        <v>1363000</v>
      </c>
      <c r="G9" s="49">
        <v>696500</v>
      </c>
      <c r="H9" s="49">
        <v>640500</v>
      </c>
      <c r="I9" s="49">
        <v>464300</v>
      </c>
      <c r="J9" s="49">
        <f>20000+498000</f>
        <v>518000</v>
      </c>
      <c r="K9" s="49">
        <f>498000+3000</f>
        <v>501000</v>
      </c>
      <c r="L9" s="49"/>
      <c r="M9" s="49"/>
      <c r="N9" s="49"/>
      <c r="O9" s="49"/>
      <c r="P9" s="50">
        <f>SUM(D9:O9)</f>
        <v>4183300</v>
      </c>
      <c r="Q9" s="51">
        <f t="shared" si="0"/>
        <v>932700</v>
      </c>
    </row>
    <row r="10" spans="1:19" s="53" customFormat="1" ht="14.25" customHeight="1">
      <c r="A10" s="47" t="s">
        <v>333</v>
      </c>
      <c r="B10" s="48" t="s">
        <v>334</v>
      </c>
      <c r="C10" s="49">
        <v>12818920.82</v>
      </c>
      <c r="D10" s="49"/>
      <c r="E10" s="49"/>
      <c r="F10" s="49"/>
      <c r="G10" s="49"/>
      <c r="H10" s="49"/>
      <c r="I10" s="49"/>
      <c r="J10" s="49"/>
      <c r="K10" s="49"/>
      <c r="L10" s="49"/>
      <c r="M10" s="49">
        <v>0</v>
      </c>
      <c r="N10" s="49">
        <v>0</v>
      </c>
      <c r="O10" s="49">
        <v>0</v>
      </c>
      <c r="P10" s="50">
        <f t="shared" ref="P10:P17" si="1">SUM(D10:O10)</f>
        <v>0</v>
      </c>
      <c r="Q10" s="51">
        <f t="shared" si="0"/>
        <v>12818920.82</v>
      </c>
    </row>
    <row r="11" spans="1:19" s="53" customFormat="1" ht="14.25" customHeight="1">
      <c r="A11" s="47" t="s">
        <v>28</v>
      </c>
      <c r="B11" s="48" t="s">
        <v>29</v>
      </c>
      <c r="C11" s="49">
        <v>4874302.92</v>
      </c>
      <c r="D11" s="49">
        <v>1848153.71</v>
      </c>
      <c r="E11" s="49"/>
      <c r="F11" s="49">
        <v>1442068</v>
      </c>
      <c r="G11" s="49">
        <v>803550</v>
      </c>
      <c r="H11" s="49">
        <v>240000</v>
      </c>
      <c r="I11" s="49">
        <v>135000</v>
      </c>
      <c r="J11" s="49"/>
      <c r="K11" s="49"/>
      <c r="L11" s="49"/>
      <c r="M11" s="49"/>
      <c r="N11" s="49"/>
      <c r="O11" s="49"/>
      <c r="P11" s="50">
        <f t="shared" si="1"/>
        <v>4468771.71</v>
      </c>
      <c r="Q11" s="51">
        <f t="shared" si="0"/>
        <v>405531.20999999996</v>
      </c>
    </row>
    <row r="12" spans="1:19" s="53" customFormat="1" ht="14.25" customHeight="1">
      <c r="A12" s="47" t="s">
        <v>30</v>
      </c>
      <c r="B12" s="48" t="s">
        <v>31</v>
      </c>
      <c r="C12" s="49">
        <v>1605897.08</v>
      </c>
      <c r="D12" s="49">
        <v>452947.29</v>
      </c>
      <c r="E12" s="49"/>
      <c r="F12" s="49">
        <f>88417.17+284449.27</f>
        <v>372866.44</v>
      </c>
      <c r="G12" s="49">
        <f>4614.67+132487.32</f>
        <v>137101.99000000002</v>
      </c>
      <c r="H12" s="49">
        <v>99330.880000000005</v>
      </c>
      <c r="I12" s="49">
        <v>413810.23</v>
      </c>
      <c r="J12" s="49">
        <f>1567.78+115359.41</f>
        <v>116927.19</v>
      </c>
      <c r="K12" s="49"/>
      <c r="L12" s="49"/>
      <c r="M12" s="49"/>
      <c r="N12" s="49"/>
      <c r="O12" s="49"/>
      <c r="P12" s="50">
        <f t="shared" si="1"/>
        <v>1592984.02</v>
      </c>
      <c r="Q12" s="51">
        <f t="shared" si="0"/>
        <v>12913.060000000056</v>
      </c>
    </row>
    <row r="13" spans="1:19" s="53" customFormat="1" ht="24.75" customHeight="1">
      <c r="A13" s="47" t="s">
        <v>36</v>
      </c>
      <c r="B13" s="54" t="s">
        <v>37</v>
      </c>
      <c r="C13" s="49">
        <v>4002000</v>
      </c>
      <c r="D13" s="49">
        <v>333500</v>
      </c>
      <c r="E13" s="49">
        <v>333500</v>
      </c>
      <c r="F13" s="49">
        <v>333500</v>
      </c>
      <c r="G13" s="49">
        <v>333500</v>
      </c>
      <c r="H13" s="49">
        <v>333500</v>
      </c>
      <c r="I13" s="49">
        <v>333500</v>
      </c>
      <c r="J13" s="49">
        <v>326500</v>
      </c>
      <c r="K13" s="49">
        <v>333500</v>
      </c>
      <c r="L13" s="49"/>
      <c r="M13" s="49">
        <v>0</v>
      </c>
      <c r="N13" s="49">
        <v>0</v>
      </c>
      <c r="O13" s="49">
        <v>0</v>
      </c>
      <c r="P13" s="50">
        <f>SUM(D13:O13)</f>
        <v>2661000</v>
      </c>
      <c r="Q13" s="51">
        <f>C13-P13</f>
        <v>1341000</v>
      </c>
    </row>
    <row r="14" spans="1:19" s="53" customFormat="1" ht="24.75" customHeight="1">
      <c r="A14" s="47" t="s">
        <v>38</v>
      </c>
      <c r="B14" s="54" t="s">
        <v>335</v>
      </c>
      <c r="C14" s="49">
        <v>12000000</v>
      </c>
      <c r="D14" s="49"/>
      <c r="E14" s="49"/>
      <c r="F14" s="49"/>
      <c r="G14" s="55"/>
      <c r="H14" s="49"/>
      <c r="I14" s="49">
        <v>0</v>
      </c>
      <c r="J14" s="49"/>
      <c r="K14" s="49"/>
      <c r="L14" s="49"/>
      <c r="M14" s="49"/>
      <c r="N14" s="49"/>
      <c r="O14" s="49"/>
      <c r="P14" s="50"/>
      <c r="Q14" s="51">
        <f>C14-P14</f>
        <v>12000000</v>
      </c>
    </row>
    <row r="15" spans="1:19" s="53" customFormat="1" ht="24.75" customHeight="1">
      <c r="A15" s="47" t="s">
        <v>42</v>
      </c>
      <c r="B15" s="54" t="s">
        <v>43</v>
      </c>
      <c r="C15" s="49">
        <v>10123139.93</v>
      </c>
      <c r="D15" s="49">
        <f>1418+116833.38+218378.57+130332.32</f>
        <v>466962.27</v>
      </c>
      <c r="E15" s="49">
        <f>471216.27+307316.03</f>
        <v>778532.3</v>
      </c>
      <c r="F15" s="49">
        <f>772508.9+46058.41+46058.41+1418</f>
        <v>866043.72000000009</v>
      </c>
      <c r="G15" s="49">
        <f>772919.14+1418+47121.91</f>
        <v>821459.05</v>
      </c>
      <c r="H15" s="49">
        <f>209338.37+303835.99+262560.81+1418+41662.61+5010.27</f>
        <v>823826.04999999993</v>
      </c>
      <c r="I15" s="49">
        <f>1418+786936.81+29170.03</f>
        <v>817524.84000000008</v>
      </c>
      <c r="J15" s="49">
        <f>795326.64+1276.2+1418+31559.36+4254</f>
        <v>833834.2</v>
      </c>
      <c r="K15" s="49">
        <f>823856.32+1418+31559.36+212.7</f>
        <v>857046.37999999989</v>
      </c>
      <c r="L15" s="49"/>
      <c r="M15" s="49">
        <v>0</v>
      </c>
      <c r="N15" s="49">
        <v>0</v>
      </c>
      <c r="O15" s="49">
        <v>0</v>
      </c>
      <c r="P15" s="50">
        <f t="shared" si="1"/>
        <v>6265228.8099999996</v>
      </c>
      <c r="Q15" s="51">
        <f t="shared" si="0"/>
        <v>3857911.12</v>
      </c>
      <c r="S15" s="56" t="s">
        <v>62</v>
      </c>
    </row>
    <row r="16" spans="1:19" s="53" customFormat="1" ht="24.75" customHeight="1">
      <c r="A16" s="47" t="s">
        <v>44</v>
      </c>
      <c r="B16" s="54" t="s">
        <v>45</v>
      </c>
      <c r="C16" s="49">
        <v>10536257.699999999</v>
      </c>
      <c r="D16" s="49">
        <f>1420+123201.79+218686.43+130516.1</f>
        <v>473824.31999999995</v>
      </c>
      <c r="E16" s="49">
        <f>478084.32+311583.5</f>
        <v>789667.82000000007</v>
      </c>
      <c r="F16" s="49">
        <f>788605.94+48386.5+48386.5+1420</f>
        <v>886798.94</v>
      </c>
      <c r="G16" s="49">
        <f>789016.75+1420+49451.5</f>
        <v>839888.25</v>
      </c>
      <c r="H16" s="49">
        <f>218828.14+306918+266090.6+1420+45475.5+5017.33</f>
        <v>843749.57</v>
      </c>
      <c r="I16" s="49">
        <f>1420+803222.82+32965.3</f>
        <v>837608.12</v>
      </c>
      <c r="J16" s="49">
        <f>811624.49+1278+1420+35358+4260</f>
        <v>853940.49</v>
      </c>
      <c r="K16" s="49">
        <f>840194.4+1420+35358+213</f>
        <v>877185.4</v>
      </c>
      <c r="L16" s="49"/>
      <c r="M16" s="49">
        <v>0</v>
      </c>
      <c r="N16" s="49">
        <v>0</v>
      </c>
      <c r="O16" s="49">
        <v>0</v>
      </c>
      <c r="P16" s="50">
        <f>SUM(D16:O16)</f>
        <v>6402662.9100000001</v>
      </c>
      <c r="Q16" s="51">
        <f t="shared" si="0"/>
        <v>4133594.7899999991</v>
      </c>
    </row>
    <row r="17" spans="1:17" s="53" customFormat="1" ht="24.75" customHeight="1">
      <c r="A17" s="47" t="s">
        <v>46</v>
      </c>
      <c r="B17" s="54" t="s">
        <v>47</v>
      </c>
      <c r="C17" s="49">
        <v>1557449.01</v>
      </c>
      <c r="D17" s="49">
        <f>220+16504.26+33145.65+19754.4</f>
        <v>69624.31</v>
      </c>
      <c r="E17" s="49">
        <f>70229.86+27876.75</f>
        <v>98106.61</v>
      </c>
      <c r="F17" s="49">
        <f>96798.64+3577.75+3577.75+220</f>
        <v>104174.14</v>
      </c>
      <c r="G17" s="49">
        <f>97071.84+220+3742.75</f>
        <v>101034.59</v>
      </c>
      <c r="H17" s="49">
        <f>24814.21+40496.92+31748.25+220+3159.2+777.33</f>
        <v>101215.91</v>
      </c>
      <c r="I17" s="49">
        <f>220+97504.53+2188.45</f>
        <v>99912.98</v>
      </c>
      <c r="J17" s="49">
        <f>98806.2+198+220+2559.15+660</f>
        <v>102443.34999999999</v>
      </c>
      <c r="K17" s="49">
        <f>102968.52+220+2559.15+33</f>
        <v>105780.67</v>
      </c>
      <c r="L17" s="49"/>
      <c r="M17" s="49">
        <v>0</v>
      </c>
      <c r="N17" s="49">
        <v>0</v>
      </c>
      <c r="O17" s="49">
        <v>0</v>
      </c>
      <c r="P17" s="50">
        <f t="shared" si="1"/>
        <v>782292.56</v>
      </c>
      <c r="Q17" s="51">
        <f t="shared" si="0"/>
        <v>775156.45</v>
      </c>
    </row>
    <row r="18" spans="1:17" ht="14.25">
      <c r="A18" s="57"/>
      <c r="B18" s="58" t="s">
        <v>336</v>
      </c>
      <c r="C18" s="59">
        <f t="shared" ref="C18:Q18" si="2">SUM(C7:C17)</f>
        <v>200366688.45999998</v>
      </c>
      <c r="D18" s="59">
        <f t="shared" si="2"/>
        <v>10318594.130000001</v>
      </c>
      <c r="E18" s="59">
        <f t="shared" si="2"/>
        <v>13121888.960000001</v>
      </c>
      <c r="F18" s="59">
        <f t="shared" si="2"/>
        <v>16495577.43</v>
      </c>
      <c r="G18" s="59">
        <f t="shared" si="2"/>
        <v>14865946.060000001</v>
      </c>
      <c r="H18" s="59">
        <f t="shared" si="2"/>
        <v>14325419.570000002</v>
      </c>
      <c r="I18" s="59">
        <f t="shared" si="2"/>
        <v>14434653.82</v>
      </c>
      <c r="J18" s="59">
        <f t="shared" si="2"/>
        <v>14260976.209999999</v>
      </c>
      <c r="K18" s="59">
        <f t="shared" si="2"/>
        <v>14528236.57</v>
      </c>
      <c r="L18" s="59">
        <f t="shared" si="2"/>
        <v>0</v>
      </c>
      <c r="M18" s="59">
        <f t="shared" si="2"/>
        <v>0</v>
      </c>
      <c r="N18" s="59">
        <f t="shared" si="2"/>
        <v>0</v>
      </c>
      <c r="O18" s="59">
        <f t="shared" si="2"/>
        <v>0</v>
      </c>
      <c r="P18" s="59">
        <f t="shared" si="2"/>
        <v>112351292.74999999</v>
      </c>
      <c r="Q18" s="59">
        <f t="shared" si="2"/>
        <v>88015395.710000023</v>
      </c>
    </row>
    <row r="19" spans="1:17" ht="12.75" customHeight="1">
      <c r="A19" s="60" t="s">
        <v>52</v>
      </c>
      <c r="B19" s="48" t="s">
        <v>53</v>
      </c>
      <c r="C19" s="61">
        <v>5900000</v>
      </c>
      <c r="D19" s="62">
        <f>109.42+2717+428624.93</f>
        <v>431451.35</v>
      </c>
      <c r="E19" s="62">
        <f>416312.45+16302.07+4828.18+40119.05+47.02</f>
        <v>477608.77</v>
      </c>
      <c r="F19" s="62">
        <f>352630.69+25895.13+3.95+4680</f>
        <v>383209.77</v>
      </c>
      <c r="G19" s="62">
        <f>368762.16+4687.8+9505.07</f>
        <v>382955.02999999997</v>
      </c>
      <c r="H19" s="62">
        <f>251106.69+382232.21+4689.57</f>
        <v>638028.47</v>
      </c>
      <c r="I19" s="62">
        <f>359322.17+4689.57+438275.37</f>
        <v>802287.11</v>
      </c>
      <c r="J19" s="62">
        <f>429432.93+426521.22+4699.15</f>
        <v>860653.29999999993</v>
      </c>
      <c r="K19" s="62">
        <f>299117.15+374054.18+4699.18</f>
        <v>677870.51000000013</v>
      </c>
      <c r="L19" s="62"/>
      <c r="M19" s="62">
        <v>0</v>
      </c>
      <c r="N19" s="62">
        <v>0</v>
      </c>
      <c r="O19" s="62">
        <v>0</v>
      </c>
      <c r="P19" s="63">
        <f t="shared" ref="P19:P67" si="3">SUM(D19:O19)</f>
        <v>4654064.3099999996</v>
      </c>
      <c r="Q19" s="64">
        <f t="shared" ref="Q19:Q67" si="4">C19-P19</f>
        <v>1245935.6900000004</v>
      </c>
    </row>
    <row r="20" spans="1:17" ht="12.75" customHeight="1">
      <c r="A20" s="60" t="s">
        <v>54</v>
      </c>
      <c r="B20" s="48" t="s">
        <v>55</v>
      </c>
      <c r="C20" s="61">
        <v>2950000</v>
      </c>
      <c r="D20" s="62">
        <f>164886.37</f>
        <v>164886.37</v>
      </c>
      <c r="E20" s="62">
        <f>169571.6+198584.61+31264.96</f>
        <v>399421.17</v>
      </c>
      <c r="F20" s="62">
        <v>221864.07</v>
      </c>
      <c r="G20" s="62">
        <f>196801.63+6710.94</f>
        <v>203512.57</v>
      </c>
      <c r="H20" s="62">
        <f>261119.38</f>
        <v>261119.38</v>
      </c>
      <c r="I20" s="62">
        <f>311634.37</f>
        <v>311634.37</v>
      </c>
      <c r="J20" s="62">
        <f>307950.62</f>
        <v>307950.62</v>
      </c>
      <c r="K20" s="62">
        <f>227283+41131.24</f>
        <v>268414.24</v>
      </c>
      <c r="L20" s="62"/>
      <c r="M20" s="62">
        <v>0</v>
      </c>
      <c r="N20" s="62">
        <v>0</v>
      </c>
      <c r="O20" s="62">
        <v>0</v>
      </c>
      <c r="P20" s="63">
        <f t="shared" si="3"/>
        <v>2138802.79</v>
      </c>
      <c r="Q20" s="64">
        <f t="shared" si="4"/>
        <v>811197.21</v>
      </c>
    </row>
    <row r="21" spans="1:17" ht="12.75" customHeight="1">
      <c r="A21" s="60" t="s">
        <v>56</v>
      </c>
      <c r="B21" s="48" t="s">
        <v>57</v>
      </c>
      <c r="C21" s="61">
        <v>10010000</v>
      </c>
      <c r="D21" s="62">
        <f>525125+21476+107192.93+2473.25+26612.79+79321.94+180621.64</f>
        <v>942823.54999999993</v>
      </c>
      <c r="E21" s="62">
        <f>525125+104799.5+107192.24+2473.25+26629.59+406606.96+22616.38+523025+36098.33</f>
        <v>1754566.25</v>
      </c>
      <c r="F21" s="62">
        <f>523025+6050+108734.37+2473.25+25341.01+107412.34+21476</f>
        <v>794511.97</v>
      </c>
      <c r="G21" s="62">
        <f>88057.16+25378.41+107424.02+21476+523025+6050</f>
        <v>771410.59000000008</v>
      </c>
      <c r="H21" s="62">
        <f>550448.5+76009.34+27551.7+25400.47+128724.37</f>
        <v>808134.37999999989</v>
      </c>
      <c r="I21" s="62">
        <f>538370+75997.48+159145.4+107413.5+25441+21519.86</f>
        <v>927887.24</v>
      </c>
      <c r="J21" s="62">
        <f>538370+104161.2+76385.75+25246.64+21563.82+107424.61+2504.59</f>
        <v>875656.60999999987</v>
      </c>
      <c r="K21" s="62">
        <f>535520+81495.5+104137.74+25111.77+107425.2+21563.92</f>
        <v>875254.13</v>
      </c>
      <c r="L21" s="62"/>
      <c r="M21" s="62">
        <v>0</v>
      </c>
      <c r="N21" s="62">
        <v>0</v>
      </c>
      <c r="O21" s="62">
        <v>0</v>
      </c>
      <c r="P21" s="63">
        <f t="shared" si="3"/>
        <v>7750244.7199999997</v>
      </c>
      <c r="Q21" s="64">
        <f t="shared" si="4"/>
        <v>2259755.2800000003</v>
      </c>
    </row>
    <row r="22" spans="1:17" ht="12.75" customHeight="1">
      <c r="A22" s="60" t="s">
        <v>58</v>
      </c>
      <c r="B22" s="48" t="s">
        <v>59</v>
      </c>
      <c r="C22" s="61">
        <v>6360000</v>
      </c>
      <c r="D22" s="62">
        <f>444595.17+32446.48+24916.14</f>
        <v>501957.79</v>
      </c>
      <c r="E22" s="62">
        <f>435758.72+23668.5+25633.13</f>
        <v>485060.35</v>
      </c>
      <c r="F22" s="62">
        <v>492147.91</v>
      </c>
      <c r="G22" s="62">
        <f>463397.66+32360.74+34976.66</f>
        <v>530735.05999999994</v>
      </c>
      <c r="H22" s="62">
        <f>537037.26+32471.32+38659.31</f>
        <v>608167.8899999999</v>
      </c>
      <c r="I22" s="62">
        <f>518851.48+42113.72+48215.51</f>
        <v>609180.71</v>
      </c>
      <c r="J22" s="62">
        <f>590520.89+52001.48+50403.56+13916.06</f>
        <v>706841.99</v>
      </c>
      <c r="K22" s="62">
        <f>586548.18+42174.38+37153.81</f>
        <v>665876.37000000011</v>
      </c>
      <c r="L22" s="62"/>
      <c r="M22" s="62">
        <v>0</v>
      </c>
      <c r="N22" s="62">
        <v>0</v>
      </c>
      <c r="O22" s="62">
        <v>0</v>
      </c>
      <c r="P22" s="63">
        <f t="shared" si="3"/>
        <v>4599968.07</v>
      </c>
      <c r="Q22" s="64">
        <f t="shared" si="4"/>
        <v>1760031.9299999997</v>
      </c>
    </row>
    <row r="23" spans="1:17" ht="12.75" customHeight="1">
      <c r="A23" s="60" t="s">
        <v>60</v>
      </c>
      <c r="B23" s="48" t="s">
        <v>61</v>
      </c>
      <c r="C23" s="61">
        <v>100000</v>
      </c>
      <c r="D23" s="62"/>
      <c r="E23" s="62"/>
      <c r="F23" s="62"/>
      <c r="G23" s="62"/>
      <c r="H23" s="62"/>
      <c r="I23" s="62"/>
      <c r="J23" s="62">
        <v>21095</v>
      </c>
      <c r="K23" s="62"/>
      <c r="L23" s="62"/>
      <c r="M23" s="62"/>
      <c r="N23" s="62"/>
      <c r="O23" s="62"/>
      <c r="P23" s="63">
        <f t="shared" si="3"/>
        <v>21095</v>
      </c>
      <c r="Q23" s="64">
        <f t="shared" si="4"/>
        <v>78905</v>
      </c>
    </row>
    <row r="24" spans="1:17" ht="12.75" customHeight="1">
      <c r="A24" s="60" t="s">
        <v>63</v>
      </c>
      <c r="B24" s="48" t="s">
        <v>64</v>
      </c>
      <c r="C24" s="61">
        <v>50000</v>
      </c>
      <c r="D24" s="62"/>
      <c r="E24" s="62"/>
      <c r="F24" s="62"/>
      <c r="G24" s="62"/>
      <c r="H24" s="62"/>
      <c r="I24" s="62"/>
      <c r="J24" s="62">
        <v>14169</v>
      </c>
      <c r="K24" s="62"/>
      <c r="L24" s="62"/>
      <c r="M24" s="62"/>
      <c r="N24" s="62"/>
      <c r="O24" s="62"/>
      <c r="P24" s="63">
        <f t="shared" si="3"/>
        <v>14169</v>
      </c>
      <c r="Q24" s="64">
        <f t="shared" si="4"/>
        <v>35831</v>
      </c>
    </row>
    <row r="25" spans="1:17" ht="12.75" customHeight="1">
      <c r="A25" s="60" t="s">
        <v>67</v>
      </c>
      <c r="B25" s="48" t="s">
        <v>68</v>
      </c>
      <c r="C25" s="61">
        <v>250000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3">
        <f t="shared" si="3"/>
        <v>0</v>
      </c>
      <c r="Q25" s="64">
        <f t="shared" si="4"/>
        <v>250000</v>
      </c>
    </row>
    <row r="26" spans="1:17" ht="12.75" customHeight="1">
      <c r="A26" s="60" t="s">
        <v>69</v>
      </c>
      <c r="B26" s="48" t="s">
        <v>70</v>
      </c>
      <c r="C26" s="61">
        <v>600000</v>
      </c>
      <c r="D26" s="62"/>
      <c r="E26" s="62"/>
      <c r="F26" s="62"/>
      <c r="G26" s="62"/>
      <c r="H26" s="62"/>
      <c r="I26" s="62"/>
      <c r="J26" s="62">
        <v>226114</v>
      </c>
      <c r="K26" s="62"/>
      <c r="L26" s="62"/>
      <c r="M26" s="62"/>
      <c r="N26" s="62"/>
      <c r="O26" s="62"/>
      <c r="P26" s="63">
        <f t="shared" si="3"/>
        <v>226114</v>
      </c>
      <c r="Q26" s="64">
        <f t="shared" si="4"/>
        <v>373886</v>
      </c>
    </row>
    <row r="27" spans="1:17" ht="12.75" customHeight="1">
      <c r="A27" s="60" t="s">
        <v>73</v>
      </c>
      <c r="B27" s="48" t="s">
        <v>74</v>
      </c>
      <c r="C27" s="61">
        <v>4470400</v>
      </c>
      <c r="D27" s="62"/>
      <c r="E27" s="62"/>
      <c r="F27" s="62"/>
      <c r="G27" s="62"/>
      <c r="H27" s="62"/>
      <c r="I27" s="62"/>
      <c r="J27" s="62">
        <v>2470380</v>
      </c>
      <c r="K27" s="62"/>
      <c r="L27" s="62"/>
      <c r="M27" s="62"/>
      <c r="N27" s="62"/>
      <c r="O27" s="62"/>
      <c r="P27" s="63">
        <f t="shared" si="3"/>
        <v>2470380</v>
      </c>
      <c r="Q27" s="64">
        <f t="shared" si="4"/>
        <v>2000020</v>
      </c>
    </row>
    <row r="28" spans="1:17" ht="12.75" customHeight="1">
      <c r="A28" s="60" t="s">
        <v>75</v>
      </c>
      <c r="B28" s="48" t="s">
        <v>76</v>
      </c>
      <c r="C28" s="61">
        <v>200000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>
        <f t="shared" si="3"/>
        <v>0</v>
      </c>
      <c r="Q28" s="64">
        <f t="shared" si="4"/>
        <v>200000</v>
      </c>
    </row>
    <row r="29" spans="1:17" ht="12.75" customHeight="1">
      <c r="A29" s="60" t="s">
        <v>79</v>
      </c>
      <c r="B29" s="48" t="s">
        <v>80</v>
      </c>
      <c r="C29" s="61">
        <v>2670000</v>
      </c>
      <c r="D29" s="62"/>
      <c r="E29" s="62"/>
      <c r="F29" s="62"/>
      <c r="G29" s="62"/>
      <c r="H29" s="62"/>
      <c r="I29" s="62"/>
      <c r="J29" s="62">
        <v>454394.37</v>
      </c>
      <c r="K29" s="62"/>
      <c r="L29" s="62"/>
      <c r="M29" s="62"/>
      <c r="N29" s="62"/>
      <c r="O29" s="62"/>
      <c r="P29" s="63">
        <f t="shared" si="3"/>
        <v>454394.37</v>
      </c>
      <c r="Q29" s="64">
        <f t="shared" si="4"/>
        <v>2215605.63</v>
      </c>
    </row>
    <row r="30" spans="1:17" ht="12.75" customHeight="1">
      <c r="A30" s="60" t="s">
        <v>81</v>
      </c>
      <c r="B30" s="48" t="s">
        <v>82</v>
      </c>
      <c r="C30" s="61">
        <v>30430</v>
      </c>
      <c r="D30" s="62"/>
      <c r="E30" s="62"/>
      <c r="F30" s="62"/>
      <c r="G30" s="62"/>
      <c r="H30" s="62"/>
      <c r="I30" s="62"/>
      <c r="J30" s="62">
        <v>30430</v>
      </c>
      <c r="K30" s="62"/>
      <c r="L30" s="62"/>
      <c r="M30" s="62"/>
      <c r="N30" s="62"/>
      <c r="O30" s="62"/>
      <c r="P30" s="63">
        <f t="shared" si="3"/>
        <v>30430</v>
      </c>
      <c r="Q30" s="64">
        <f t="shared" si="4"/>
        <v>0</v>
      </c>
    </row>
    <row r="31" spans="1:17" ht="12.75" customHeight="1">
      <c r="A31" s="60" t="s">
        <v>83</v>
      </c>
      <c r="B31" s="48" t="s">
        <v>84</v>
      </c>
      <c r="C31" s="61">
        <v>10000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>
        <f t="shared" si="3"/>
        <v>0</v>
      </c>
      <c r="Q31" s="64">
        <f t="shared" si="4"/>
        <v>10000</v>
      </c>
    </row>
    <row r="32" spans="1:17" ht="12.75" customHeight="1">
      <c r="A32" s="60" t="s">
        <v>85</v>
      </c>
      <c r="B32" s="48" t="s">
        <v>86</v>
      </c>
      <c r="C32" s="61">
        <v>10000</v>
      </c>
      <c r="D32" s="62"/>
      <c r="E32" s="62"/>
      <c r="F32" s="62"/>
      <c r="G32" s="62"/>
      <c r="H32" s="62"/>
      <c r="I32" s="62"/>
      <c r="J32" s="62">
        <v>4360</v>
      </c>
      <c r="K32" s="62"/>
      <c r="L32" s="62"/>
      <c r="M32" s="62"/>
      <c r="N32" s="62"/>
      <c r="O32" s="62"/>
      <c r="P32" s="63">
        <f t="shared" si="3"/>
        <v>4360</v>
      </c>
      <c r="Q32" s="64">
        <f t="shared" si="4"/>
        <v>5640</v>
      </c>
    </row>
    <row r="33" spans="1:17" ht="12.75" customHeight="1">
      <c r="A33" s="60" t="s">
        <v>89</v>
      </c>
      <c r="B33" s="48" t="s">
        <v>90</v>
      </c>
      <c r="C33" s="61">
        <v>16947323.739999998</v>
      </c>
      <c r="D33" s="62"/>
      <c r="E33" s="62"/>
      <c r="F33" s="62"/>
      <c r="G33" s="62"/>
      <c r="H33" s="62">
        <f>4017751.37+1004437.84</f>
        <v>5022189.21</v>
      </c>
      <c r="I33" s="62">
        <v>1004437.84</v>
      </c>
      <c r="J33" s="62">
        <v>664200</v>
      </c>
      <c r="K33" s="62">
        <f>1004437.84+345600+320601.6</f>
        <v>1670639.44</v>
      </c>
      <c r="L33" s="62"/>
      <c r="M33" s="62"/>
      <c r="N33" s="62"/>
      <c r="O33" s="62"/>
      <c r="P33" s="63">
        <f t="shared" si="3"/>
        <v>8361466.4900000002</v>
      </c>
      <c r="Q33" s="64">
        <f t="shared" si="4"/>
        <v>8585857.2499999981</v>
      </c>
    </row>
    <row r="34" spans="1:17" ht="12.75" customHeight="1">
      <c r="A34" s="60" t="s">
        <v>91</v>
      </c>
      <c r="B34" s="48" t="s">
        <v>337</v>
      </c>
      <c r="C34" s="61">
        <v>99800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3">
        <f t="shared" si="3"/>
        <v>0</v>
      </c>
      <c r="Q34" s="64">
        <f t="shared" si="4"/>
        <v>99800</v>
      </c>
    </row>
    <row r="35" spans="1:17" ht="12.75" customHeight="1">
      <c r="A35" s="60" t="s">
        <v>93</v>
      </c>
      <c r="B35" s="48" t="s">
        <v>338</v>
      </c>
      <c r="C35" s="61">
        <v>683556</v>
      </c>
      <c r="D35" s="62"/>
      <c r="E35" s="62"/>
      <c r="F35" s="62"/>
      <c r="G35" s="62"/>
      <c r="H35" s="62"/>
      <c r="I35" s="62"/>
      <c r="J35" s="62">
        <v>680126.9</v>
      </c>
      <c r="K35" s="62"/>
      <c r="L35" s="62"/>
      <c r="M35" s="62"/>
      <c r="N35" s="62"/>
      <c r="O35" s="62"/>
      <c r="P35" s="63">
        <f t="shared" si="3"/>
        <v>680126.9</v>
      </c>
      <c r="Q35" s="64">
        <f t="shared" si="4"/>
        <v>3429.0999999999767</v>
      </c>
    </row>
    <row r="36" spans="1:17" ht="21.75" customHeight="1">
      <c r="A36" s="60" t="s">
        <v>95</v>
      </c>
      <c r="B36" s="54" t="s">
        <v>96</v>
      </c>
      <c r="C36" s="61">
        <v>200000</v>
      </c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3">
        <f t="shared" si="3"/>
        <v>0</v>
      </c>
      <c r="Q36" s="64">
        <f t="shared" si="4"/>
        <v>200000</v>
      </c>
    </row>
    <row r="37" spans="1:17" ht="13.5" customHeight="1">
      <c r="A37" s="60" t="s">
        <v>97</v>
      </c>
      <c r="B37" s="48" t="s">
        <v>98</v>
      </c>
      <c r="C37" s="61">
        <v>300000</v>
      </c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3">
        <f t="shared" si="3"/>
        <v>0</v>
      </c>
      <c r="Q37" s="64">
        <f t="shared" si="4"/>
        <v>300000</v>
      </c>
    </row>
    <row r="38" spans="1:17" ht="13.5" customHeight="1">
      <c r="A38" s="60" t="s">
        <v>99</v>
      </c>
      <c r="B38" s="48" t="s">
        <v>100</v>
      </c>
      <c r="C38" s="61">
        <v>600000</v>
      </c>
      <c r="D38" s="62"/>
      <c r="E38" s="62"/>
      <c r="F38" s="62"/>
      <c r="G38" s="62"/>
      <c r="H38" s="62"/>
      <c r="I38" s="62"/>
      <c r="J38" s="62">
        <v>57915.38</v>
      </c>
      <c r="K38" s="62"/>
      <c r="L38" s="62"/>
      <c r="M38" s="62"/>
      <c r="N38" s="62"/>
      <c r="O38" s="62"/>
      <c r="P38" s="63">
        <f t="shared" ref="P38" si="5">SUM(D38:O38)</f>
        <v>57915.38</v>
      </c>
      <c r="Q38" s="64">
        <f t="shared" si="4"/>
        <v>542084.62</v>
      </c>
    </row>
    <row r="39" spans="1:17" ht="13.5" customHeight="1">
      <c r="A39" s="60" t="s">
        <v>103</v>
      </c>
      <c r="B39" s="48" t="s">
        <v>104</v>
      </c>
      <c r="C39" s="61">
        <v>200000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3">
        <f t="shared" si="3"/>
        <v>0</v>
      </c>
      <c r="Q39" s="64">
        <f t="shared" si="4"/>
        <v>200000</v>
      </c>
    </row>
    <row r="40" spans="1:17" ht="13.5" customHeight="1">
      <c r="A40" s="60" t="s">
        <v>105</v>
      </c>
      <c r="B40" s="48" t="s">
        <v>106</v>
      </c>
      <c r="C40" s="61">
        <v>1100000</v>
      </c>
      <c r="D40" s="62"/>
      <c r="E40" s="62"/>
      <c r="F40" s="62"/>
      <c r="G40" s="62"/>
      <c r="H40" s="62"/>
      <c r="I40" s="62"/>
      <c r="J40" s="62">
        <v>675562.95</v>
      </c>
      <c r="K40" s="62"/>
      <c r="L40" s="62"/>
      <c r="M40" s="62"/>
      <c r="N40" s="62"/>
      <c r="O40" s="62"/>
      <c r="P40" s="63">
        <f t="shared" si="3"/>
        <v>675562.95</v>
      </c>
      <c r="Q40" s="64">
        <f t="shared" si="4"/>
        <v>424437.05000000005</v>
      </c>
    </row>
    <row r="41" spans="1:17" ht="13.5" customHeight="1">
      <c r="A41" s="60" t="s">
        <v>107</v>
      </c>
      <c r="B41" s="48" t="s">
        <v>108</v>
      </c>
      <c r="C41" s="61">
        <v>12622274.68</v>
      </c>
      <c r="D41" s="62"/>
      <c r="E41" s="62">
        <f>269268+777726.67+28311.54</f>
        <v>1075306.21</v>
      </c>
      <c r="F41" s="62">
        <f>738561.84+285730+28034.01</f>
        <v>1052325.8499999999</v>
      </c>
      <c r="G41" s="62">
        <f>287606.96+27478.95+740059.12+282561.4</f>
        <v>1337706.4300000002</v>
      </c>
      <c r="H41" s="62">
        <f>730399.92+26646.36+276114.44</f>
        <v>1033160.72</v>
      </c>
      <c r="I41" s="62">
        <v>1021435.17</v>
      </c>
      <c r="J41" s="62">
        <f>725154.2</f>
        <v>725154.2</v>
      </c>
      <c r="K41" s="62">
        <f>273643.8+26909.39+26631.86+720659.57+277052.72</f>
        <v>1324897.3399999999</v>
      </c>
      <c r="L41" s="62"/>
      <c r="M41" s="62"/>
      <c r="N41" s="62"/>
      <c r="O41" s="62"/>
      <c r="P41" s="63">
        <f t="shared" ref="P41" si="6">SUM(D41:O41)</f>
        <v>7569985.9199999999</v>
      </c>
      <c r="Q41" s="64">
        <f t="shared" si="4"/>
        <v>5052288.76</v>
      </c>
    </row>
    <row r="42" spans="1:17" ht="13.5" customHeight="1">
      <c r="A42" s="60" t="s">
        <v>111</v>
      </c>
      <c r="B42" s="48" t="s">
        <v>112</v>
      </c>
      <c r="C42" s="61">
        <v>250000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3">
        <f t="shared" si="3"/>
        <v>0</v>
      </c>
      <c r="Q42" s="64">
        <f t="shared" si="4"/>
        <v>250000</v>
      </c>
    </row>
    <row r="43" spans="1:17" ht="24" hidden="1" customHeight="1">
      <c r="A43" s="60" t="s">
        <v>113</v>
      </c>
      <c r="B43" s="54" t="s">
        <v>114</v>
      </c>
      <c r="C43" s="61">
        <v>0</v>
      </c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3">
        <f t="shared" ref="P43" si="7">SUM(D43:O43)</f>
        <v>0</v>
      </c>
      <c r="Q43" s="64">
        <f t="shared" si="4"/>
        <v>0</v>
      </c>
    </row>
    <row r="44" spans="1:17" ht="22.5" customHeight="1">
      <c r="A44" s="60" t="s">
        <v>113</v>
      </c>
      <c r="B44" s="54" t="s">
        <v>114</v>
      </c>
      <c r="C44" s="61">
        <v>253860</v>
      </c>
      <c r="D44" s="62"/>
      <c r="E44" s="62"/>
      <c r="F44" s="62"/>
      <c r="G44" s="62"/>
      <c r="H44" s="62"/>
      <c r="I44" s="62"/>
      <c r="J44" s="62">
        <v>247170.25</v>
      </c>
      <c r="K44" s="62"/>
      <c r="L44" s="62"/>
      <c r="M44" s="62"/>
      <c r="N44" s="62"/>
      <c r="O44" s="62"/>
      <c r="P44" s="63">
        <f t="shared" si="3"/>
        <v>247170.25</v>
      </c>
      <c r="Q44" s="64">
        <f t="shared" si="4"/>
        <v>6689.75</v>
      </c>
    </row>
    <row r="45" spans="1:17" ht="25.5" customHeight="1">
      <c r="A45" s="60" t="s">
        <v>115</v>
      </c>
      <c r="B45" s="54" t="s">
        <v>339</v>
      </c>
      <c r="C45" s="61">
        <v>325000</v>
      </c>
      <c r="D45" s="62"/>
      <c r="E45" s="62"/>
      <c r="F45" s="62"/>
      <c r="G45" s="62"/>
      <c r="H45" s="62"/>
      <c r="I45" s="62"/>
      <c r="J45" s="62">
        <v>129210</v>
      </c>
      <c r="K45" s="62"/>
      <c r="L45" s="62"/>
      <c r="M45" s="62"/>
      <c r="N45" s="62"/>
      <c r="O45" s="62"/>
      <c r="P45" s="63">
        <f t="shared" si="3"/>
        <v>129210</v>
      </c>
      <c r="Q45" s="64">
        <f t="shared" si="4"/>
        <v>195790</v>
      </c>
    </row>
    <row r="46" spans="1:17" ht="24.75" customHeight="1">
      <c r="A46" s="60" t="s">
        <v>117</v>
      </c>
      <c r="B46" s="54" t="s">
        <v>118</v>
      </c>
      <c r="C46" s="61">
        <v>300000</v>
      </c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3">
        <f t="shared" si="3"/>
        <v>0</v>
      </c>
      <c r="Q46" s="64">
        <f t="shared" si="4"/>
        <v>300000</v>
      </c>
    </row>
    <row r="47" spans="1:17" ht="24" customHeight="1">
      <c r="A47" s="60" t="s">
        <v>119</v>
      </c>
      <c r="B47" s="54" t="s">
        <v>340</v>
      </c>
      <c r="C47" s="61">
        <v>100000</v>
      </c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3">
        <f t="shared" si="3"/>
        <v>0</v>
      </c>
      <c r="Q47" s="64">
        <f t="shared" si="4"/>
        <v>100000</v>
      </c>
    </row>
    <row r="48" spans="1:17" ht="33" hidden="1" customHeight="1">
      <c r="A48" s="60" t="s">
        <v>121</v>
      </c>
      <c r="B48" s="54" t="s">
        <v>122</v>
      </c>
      <c r="C48" s="61">
        <v>0</v>
      </c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3">
        <f t="shared" ref="P48:P49" si="8">SUM(D48:O48)</f>
        <v>0</v>
      </c>
      <c r="Q48" s="64">
        <f t="shared" si="4"/>
        <v>0</v>
      </c>
    </row>
    <row r="49" spans="1:17" ht="33" hidden="1" customHeight="1">
      <c r="A49" s="60" t="s">
        <v>123</v>
      </c>
      <c r="B49" s="54" t="s">
        <v>124</v>
      </c>
      <c r="C49" s="61">
        <v>0</v>
      </c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3">
        <f t="shared" si="8"/>
        <v>0</v>
      </c>
      <c r="Q49" s="64">
        <f t="shared" si="4"/>
        <v>0</v>
      </c>
    </row>
    <row r="50" spans="1:17" ht="26.25" customHeight="1">
      <c r="A50" s="60" t="s">
        <v>123</v>
      </c>
      <c r="B50" s="54" t="s">
        <v>120</v>
      </c>
      <c r="C50" s="61">
        <v>20060</v>
      </c>
      <c r="D50" s="62"/>
      <c r="E50" s="62"/>
      <c r="F50" s="62"/>
      <c r="G50" s="62"/>
      <c r="H50" s="62"/>
      <c r="I50" s="62"/>
      <c r="J50" s="62">
        <v>20060</v>
      </c>
      <c r="K50" s="62"/>
      <c r="L50" s="62"/>
      <c r="M50" s="62"/>
      <c r="N50" s="62"/>
      <c r="O50" s="62"/>
      <c r="P50" s="63">
        <f t="shared" si="3"/>
        <v>20060</v>
      </c>
      <c r="Q50" s="64">
        <f t="shared" si="4"/>
        <v>0</v>
      </c>
    </row>
    <row r="51" spans="1:17" ht="24.75" customHeight="1">
      <c r="A51" s="60" t="s">
        <v>125</v>
      </c>
      <c r="B51" s="54" t="s">
        <v>126</v>
      </c>
      <c r="C51" s="61">
        <v>3278370</v>
      </c>
      <c r="D51" s="62"/>
      <c r="E51" s="62"/>
      <c r="F51" s="62"/>
      <c r="G51" s="62"/>
      <c r="H51" s="62"/>
      <c r="I51" s="62"/>
      <c r="J51" s="62">
        <v>1200384.49</v>
      </c>
      <c r="K51" s="62"/>
      <c r="L51" s="62"/>
      <c r="M51" s="62"/>
      <c r="N51" s="62"/>
      <c r="O51" s="62"/>
      <c r="P51" s="63">
        <f t="shared" si="3"/>
        <v>1200384.49</v>
      </c>
      <c r="Q51" s="64">
        <f t="shared" si="4"/>
        <v>2077985.51</v>
      </c>
    </row>
    <row r="52" spans="1:17" ht="24.75" customHeight="1">
      <c r="A52" s="60" t="s">
        <v>127</v>
      </c>
      <c r="B52" s="54" t="s">
        <v>128</v>
      </c>
      <c r="C52" s="61">
        <v>296630</v>
      </c>
      <c r="D52" s="62"/>
      <c r="E52" s="62"/>
      <c r="F52" s="62"/>
      <c r="G52" s="62"/>
      <c r="H52" s="62"/>
      <c r="I52" s="62"/>
      <c r="J52" s="62">
        <v>290509.40000000002</v>
      </c>
      <c r="K52" s="62"/>
      <c r="L52" s="62"/>
      <c r="M52" s="62"/>
      <c r="N52" s="62"/>
      <c r="O52" s="62"/>
      <c r="P52" s="63">
        <f t="shared" ref="P52" si="9">SUM(D52:O52)</f>
        <v>290509.40000000002</v>
      </c>
      <c r="Q52" s="64">
        <f t="shared" si="4"/>
        <v>6120.5999999999767</v>
      </c>
    </row>
    <row r="53" spans="1:17" ht="15" customHeight="1">
      <c r="A53" s="60" t="s">
        <v>131</v>
      </c>
      <c r="B53" s="48" t="s">
        <v>132</v>
      </c>
      <c r="C53" s="61">
        <v>200000</v>
      </c>
      <c r="D53" s="62"/>
      <c r="E53" s="62"/>
      <c r="F53" s="62"/>
      <c r="G53" s="62"/>
      <c r="H53" s="62"/>
      <c r="I53" s="62"/>
      <c r="J53" s="62">
        <v>14580.63</v>
      </c>
      <c r="K53" s="62"/>
      <c r="L53" s="62"/>
      <c r="M53" s="62"/>
      <c r="N53" s="62"/>
      <c r="O53" s="62"/>
      <c r="P53" s="63">
        <f t="shared" si="3"/>
        <v>14580.63</v>
      </c>
      <c r="Q53" s="64">
        <f t="shared" si="4"/>
        <v>185419.37</v>
      </c>
    </row>
    <row r="54" spans="1:17" ht="15" customHeight="1">
      <c r="A54" s="60" t="s">
        <v>133</v>
      </c>
      <c r="B54" s="48" t="s">
        <v>134</v>
      </c>
      <c r="C54" s="61">
        <v>100000</v>
      </c>
      <c r="D54" s="62"/>
      <c r="E54" s="62"/>
      <c r="F54" s="62"/>
      <c r="G54" s="62"/>
      <c r="H54" s="62"/>
      <c r="I54" s="62"/>
      <c r="J54" s="62">
        <v>47200</v>
      </c>
      <c r="K54" s="62"/>
      <c r="L54" s="62"/>
      <c r="M54" s="62"/>
      <c r="N54" s="62"/>
      <c r="O54" s="62"/>
      <c r="P54" s="63">
        <f t="shared" si="3"/>
        <v>47200</v>
      </c>
      <c r="Q54" s="64">
        <f t="shared" si="4"/>
        <v>52800</v>
      </c>
    </row>
    <row r="55" spans="1:17" ht="15" customHeight="1">
      <c r="A55" s="60" t="s">
        <v>135</v>
      </c>
      <c r="B55" s="48" t="s">
        <v>136</v>
      </c>
      <c r="C55" s="61">
        <v>0</v>
      </c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3">
        <f t="shared" ref="P55" si="10">SUM(D55:O55)</f>
        <v>0</v>
      </c>
      <c r="Q55" s="64">
        <f t="shared" si="4"/>
        <v>0</v>
      </c>
    </row>
    <row r="56" spans="1:17" ht="15" customHeight="1">
      <c r="A56" s="60" t="s">
        <v>137</v>
      </c>
      <c r="B56" s="48" t="s">
        <v>138</v>
      </c>
      <c r="C56" s="61">
        <v>300000</v>
      </c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3">
        <f t="shared" si="3"/>
        <v>0</v>
      </c>
      <c r="Q56" s="64">
        <f t="shared" si="4"/>
        <v>300000</v>
      </c>
    </row>
    <row r="57" spans="1:17" ht="15" customHeight="1">
      <c r="A57" s="60" t="s">
        <v>139</v>
      </c>
      <c r="B57" s="48" t="s">
        <v>140</v>
      </c>
      <c r="C57" s="61">
        <v>50000</v>
      </c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3">
        <f t="shared" si="3"/>
        <v>0</v>
      </c>
      <c r="Q57" s="64">
        <f t="shared" si="4"/>
        <v>50000</v>
      </c>
    </row>
    <row r="58" spans="1:17" ht="15" customHeight="1">
      <c r="A58" s="60" t="s">
        <v>141</v>
      </c>
      <c r="B58" s="48" t="s">
        <v>142</v>
      </c>
      <c r="C58" s="61">
        <v>250000</v>
      </c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3">
        <f t="shared" si="3"/>
        <v>0</v>
      </c>
      <c r="Q58" s="64">
        <f t="shared" si="4"/>
        <v>250000</v>
      </c>
    </row>
    <row r="59" spans="1:17" ht="15" customHeight="1">
      <c r="A59" s="60" t="s">
        <v>143</v>
      </c>
      <c r="B59" s="48" t="s">
        <v>144</v>
      </c>
      <c r="C59" s="61">
        <v>50000</v>
      </c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3">
        <f t="shared" si="3"/>
        <v>0</v>
      </c>
      <c r="Q59" s="64">
        <f t="shared" si="4"/>
        <v>50000</v>
      </c>
    </row>
    <row r="60" spans="1:17" ht="15" customHeight="1">
      <c r="A60" s="60" t="s">
        <v>145</v>
      </c>
      <c r="B60" s="48" t="s">
        <v>146</v>
      </c>
      <c r="C60" s="61">
        <v>591670</v>
      </c>
      <c r="D60" s="62"/>
      <c r="E60" s="62"/>
      <c r="F60" s="62"/>
      <c r="G60" s="62"/>
      <c r="H60" s="62"/>
      <c r="I60" s="62"/>
      <c r="J60" s="62">
        <v>591670</v>
      </c>
      <c r="K60" s="62"/>
      <c r="L60" s="62"/>
      <c r="M60" s="62"/>
      <c r="N60" s="62"/>
      <c r="O60" s="62"/>
      <c r="P60" s="63">
        <f t="shared" ref="P60:P61" si="11">SUM(D60:O60)</f>
        <v>591670</v>
      </c>
      <c r="Q60" s="64">
        <f t="shared" si="4"/>
        <v>0</v>
      </c>
    </row>
    <row r="61" spans="1:17" ht="15" customHeight="1">
      <c r="A61" s="60" t="s">
        <v>147</v>
      </c>
      <c r="B61" s="48" t="s">
        <v>148</v>
      </c>
      <c r="C61" s="61">
        <v>49500</v>
      </c>
      <c r="D61" s="62"/>
      <c r="E61" s="62"/>
      <c r="F61" s="62"/>
      <c r="G61" s="62"/>
      <c r="H61" s="62"/>
      <c r="I61" s="62"/>
      <c r="J61" s="62">
        <v>49500</v>
      </c>
      <c r="K61" s="62"/>
      <c r="L61" s="62"/>
      <c r="M61" s="62"/>
      <c r="N61" s="62"/>
      <c r="O61" s="62"/>
      <c r="P61" s="63">
        <f t="shared" si="11"/>
        <v>49500</v>
      </c>
      <c r="Q61" s="64">
        <f t="shared" si="4"/>
        <v>0</v>
      </c>
    </row>
    <row r="62" spans="1:17" ht="26.25" customHeight="1">
      <c r="A62" s="60" t="s">
        <v>149</v>
      </c>
      <c r="B62" s="54" t="s">
        <v>150</v>
      </c>
      <c r="C62" s="61">
        <v>5843805.1200000001</v>
      </c>
      <c r="D62" s="62"/>
      <c r="E62" s="62"/>
      <c r="F62" s="62"/>
      <c r="G62" s="62">
        <v>1700000</v>
      </c>
      <c r="H62" s="62"/>
      <c r="I62" s="62"/>
      <c r="J62" s="62">
        <v>317382</v>
      </c>
      <c r="K62" s="62"/>
      <c r="L62" s="62"/>
      <c r="M62" s="62">
        <v>0</v>
      </c>
      <c r="N62" s="62">
        <v>0</v>
      </c>
      <c r="O62" s="62">
        <v>0</v>
      </c>
      <c r="P62" s="63">
        <f t="shared" si="3"/>
        <v>2017382</v>
      </c>
      <c r="Q62" s="64">
        <f t="shared" si="4"/>
        <v>3826423.12</v>
      </c>
    </row>
    <row r="63" spans="1:17" ht="15" customHeight="1">
      <c r="A63" s="60" t="s">
        <v>151</v>
      </c>
      <c r="B63" s="48" t="s">
        <v>152</v>
      </c>
      <c r="C63" s="61">
        <v>120000</v>
      </c>
      <c r="D63" s="62"/>
      <c r="E63" s="62"/>
      <c r="F63" s="62"/>
      <c r="G63" s="62"/>
      <c r="H63" s="62"/>
      <c r="I63" s="62"/>
      <c r="J63" s="62">
        <v>51718.99</v>
      </c>
      <c r="K63" s="62"/>
      <c r="L63" s="62"/>
      <c r="M63" s="62"/>
      <c r="N63" s="62"/>
      <c r="O63" s="62"/>
      <c r="P63" s="63">
        <f t="shared" si="3"/>
        <v>51718.99</v>
      </c>
      <c r="Q63" s="64">
        <f t="shared" si="4"/>
        <v>68281.010000000009</v>
      </c>
    </row>
    <row r="64" spans="1:17" ht="15" customHeight="1">
      <c r="A64" s="60" t="s">
        <v>153</v>
      </c>
      <c r="B64" s="48" t="s">
        <v>154</v>
      </c>
      <c r="C64" s="61">
        <v>25000</v>
      </c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3">
        <f t="shared" si="3"/>
        <v>0</v>
      </c>
      <c r="Q64" s="64">
        <f t="shared" si="4"/>
        <v>25000</v>
      </c>
    </row>
    <row r="65" spans="1:17" ht="15" customHeight="1">
      <c r="A65" s="60" t="s">
        <v>155</v>
      </c>
      <c r="B65" s="48" t="s">
        <v>156</v>
      </c>
      <c r="C65" s="61">
        <v>25000</v>
      </c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3">
        <f t="shared" si="3"/>
        <v>0</v>
      </c>
      <c r="Q65" s="64">
        <f t="shared" si="4"/>
        <v>25000</v>
      </c>
    </row>
    <row r="66" spans="1:17" ht="15" customHeight="1">
      <c r="A66" s="60" t="s">
        <v>157</v>
      </c>
      <c r="B66" s="48" t="s">
        <v>158</v>
      </c>
      <c r="C66" s="61">
        <v>0</v>
      </c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>
        <f t="shared" si="3"/>
        <v>0</v>
      </c>
      <c r="Q66" s="64">
        <f t="shared" si="4"/>
        <v>0</v>
      </c>
    </row>
    <row r="67" spans="1:17" ht="15" customHeight="1">
      <c r="A67" s="60" t="s">
        <v>161</v>
      </c>
      <c r="B67" s="48" t="s">
        <v>162</v>
      </c>
      <c r="C67" s="61">
        <v>2200000</v>
      </c>
      <c r="D67" s="63"/>
      <c r="E67" s="63"/>
      <c r="F67" s="63"/>
      <c r="G67" s="63"/>
      <c r="H67" s="63"/>
      <c r="I67" s="63"/>
      <c r="J67" s="63">
        <v>786634.12</v>
      </c>
      <c r="K67" s="63"/>
      <c r="L67" s="63"/>
      <c r="M67" s="63"/>
      <c r="N67" s="63"/>
      <c r="O67" s="63"/>
      <c r="P67" s="63">
        <f t="shared" si="3"/>
        <v>786634.12</v>
      </c>
      <c r="Q67" s="64">
        <f t="shared" si="4"/>
        <v>1413365.88</v>
      </c>
    </row>
    <row r="68" spans="1:17" ht="15.75" customHeight="1">
      <c r="A68" s="57"/>
      <c r="B68" s="58" t="s">
        <v>336</v>
      </c>
      <c r="C68" s="59">
        <f>SUM(C19:C67)</f>
        <v>80992679.539999992</v>
      </c>
      <c r="D68" s="65">
        <f t="shared" ref="D68:O68" si="12">SUM(D19:D65)</f>
        <v>2041119.06</v>
      </c>
      <c r="E68" s="65">
        <f t="shared" si="12"/>
        <v>4191962.75</v>
      </c>
      <c r="F68" s="65">
        <f t="shared" si="12"/>
        <v>2944059.57</v>
      </c>
      <c r="G68" s="65">
        <f t="shared" si="12"/>
        <v>4926319.68</v>
      </c>
      <c r="H68" s="65">
        <f t="shared" si="12"/>
        <v>8370800.0499999998</v>
      </c>
      <c r="I68" s="65">
        <f t="shared" si="12"/>
        <v>4676862.4399999995</v>
      </c>
      <c r="J68" s="65">
        <f>SUM(J19:J67)</f>
        <v>12521024.200000001</v>
      </c>
      <c r="K68" s="65">
        <f>SUM(K19:K67)</f>
        <v>5482952.0299999993</v>
      </c>
      <c r="L68" s="65">
        <f t="shared" si="12"/>
        <v>0</v>
      </c>
      <c r="M68" s="65">
        <f t="shared" si="12"/>
        <v>0</v>
      </c>
      <c r="N68" s="65">
        <f t="shared" si="12"/>
        <v>0</v>
      </c>
      <c r="O68" s="65">
        <f t="shared" si="12"/>
        <v>0</v>
      </c>
      <c r="P68" s="65">
        <f>SUM(P19:P67)</f>
        <v>45155099.780000001</v>
      </c>
      <c r="Q68" s="66">
        <f>SUM(Q19:Q67)</f>
        <v>35837579.759999998</v>
      </c>
    </row>
    <row r="69" spans="1:17" ht="14.25" customHeight="1">
      <c r="A69" s="60" t="s">
        <v>167</v>
      </c>
      <c r="B69" s="48" t="s">
        <v>168</v>
      </c>
      <c r="C69" s="67">
        <v>510468</v>
      </c>
      <c r="D69" s="62"/>
      <c r="E69" s="62"/>
      <c r="F69" s="62"/>
      <c r="G69" s="68"/>
      <c r="H69" s="68"/>
      <c r="I69" s="68"/>
      <c r="J69" s="68">
        <v>259990.31</v>
      </c>
      <c r="K69" s="68"/>
      <c r="L69" s="68"/>
      <c r="M69" s="68"/>
      <c r="N69" s="68"/>
      <c r="O69" s="68"/>
      <c r="P69" s="63">
        <f t="shared" ref="P69:P116" si="13">SUM(D69:O69)</f>
        <v>259990.31</v>
      </c>
      <c r="Q69" s="64">
        <f t="shared" ref="Q69:Q119" si="14">C69-P69</f>
        <v>250477.69</v>
      </c>
    </row>
    <row r="70" spans="1:17" ht="14.25" customHeight="1">
      <c r="A70" s="60" t="s">
        <v>169</v>
      </c>
      <c r="B70" s="48" t="s">
        <v>170</v>
      </c>
      <c r="C70" s="67">
        <v>1500</v>
      </c>
      <c r="D70" s="62"/>
      <c r="E70" s="62"/>
      <c r="F70" s="63"/>
      <c r="G70" s="63"/>
      <c r="H70" s="63"/>
      <c r="I70" s="63"/>
      <c r="J70" s="63">
        <v>1500</v>
      </c>
      <c r="K70" s="63"/>
      <c r="L70" s="63"/>
      <c r="M70" s="63"/>
      <c r="N70" s="63"/>
      <c r="O70" s="63"/>
      <c r="P70" s="63">
        <f t="shared" si="13"/>
        <v>1500</v>
      </c>
      <c r="Q70" s="64">
        <f t="shared" si="14"/>
        <v>0</v>
      </c>
    </row>
    <row r="71" spans="1:17" ht="14.25" customHeight="1">
      <c r="A71" s="60" t="s">
        <v>171</v>
      </c>
      <c r="B71" s="48" t="s">
        <v>172</v>
      </c>
      <c r="C71" s="67">
        <v>0</v>
      </c>
      <c r="D71" s="62"/>
      <c r="E71" s="62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>
        <f t="shared" si="13"/>
        <v>0</v>
      </c>
      <c r="Q71" s="64">
        <f t="shared" si="14"/>
        <v>0</v>
      </c>
    </row>
    <row r="72" spans="1:17" ht="14.25" customHeight="1">
      <c r="A72" s="60" t="s">
        <v>175</v>
      </c>
      <c r="B72" s="48" t="s">
        <v>176</v>
      </c>
      <c r="C72" s="67">
        <v>0</v>
      </c>
      <c r="D72" s="62"/>
      <c r="E72" s="62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>
        <f t="shared" si="13"/>
        <v>0</v>
      </c>
      <c r="Q72" s="64">
        <f t="shared" si="14"/>
        <v>0</v>
      </c>
    </row>
    <row r="73" spans="1:17" ht="14.25" customHeight="1">
      <c r="A73" s="60" t="s">
        <v>171</v>
      </c>
      <c r="B73" s="48" t="s">
        <v>172</v>
      </c>
      <c r="C73" s="67">
        <v>105000</v>
      </c>
      <c r="D73" s="62"/>
      <c r="E73" s="62"/>
      <c r="F73" s="63"/>
      <c r="G73" s="63"/>
      <c r="H73" s="63"/>
      <c r="I73" s="63"/>
      <c r="J73" s="63">
        <v>104389.59</v>
      </c>
      <c r="K73" s="63"/>
      <c r="L73" s="63"/>
      <c r="M73" s="63"/>
      <c r="N73" s="63"/>
      <c r="O73" s="63"/>
      <c r="P73" s="63">
        <f t="shared" si="13"/>
        <v>104389.59</v>
      </c>
      <c r="Q73" s="64">
        <f t="shared" si="14"/>
        <v>610.41000000000349</v>
      </c>
    </row>
    <row r="74" spans="1:17" ht="14.25" customHeight="1">
      <c r="A74" s="60" t="s">
        <v>179</v>
      </c>
      <c r="B74" s="48" t="s">
        <v>180</v>
      </c>
      <c r="C74" s="67">
        <v>693500</v>
      </c>
      <c r="D74" s="62"/>
      <c r="E74" s="62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>
        <f t="shared" si="13"/>
        <v>0</v>
      </c>
      <c r="Q74" s="64">
        <f t="shared" si="14"/>
        <v>693500</v>
      </c>
    </row>
    <row r="75" spans="1:17" ht="14.25" customHeight="1">
      <c r="A75" s="60" t="s">
        <v>181</v>
      </c>
      <c r="B75" s="48" t="s">
        <v>182</v>
      </c>
      <c r="C75" s="67">
        <v>100000</v>
      </c>
      <c r="D75" s="62"/>
      <c r="E75" s="62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>
        <f t="shared" si="13"/>
        <v>0</v>
      </c>
      <c r="Q75" s="64">
        <f t="shared" si="14"/>
        <v>100000</v>
      </c>
    </row>
    <row r="76" spans="1:17" ht="14.25" customHeight="1">
      <c r="A76" s="60" t="s">
        <v>185</v>
      </c>
      <c r="B76" s="48" t="s">
        <v>186</v>
      </c>
      <c r="C76" s="67">
        <v>200000</v>
      </c>
      <c r="D76" s="62"/>
      <c r="E76" s="62"/>
      <c r="F76" s="63"/>
      <c r="G76" s="63"/>
      <c r="H76" s="63"/>
      <c r="I76" s="63"/>
      <c r="J76" s="63">
        <v>199151.55</v>
      </c>
      <c r="K76" s="63"/>
      <c r="L76" s="63"/>
      <c r="M76" s="63"/>
      <c r="N76" s="63"/>
      <c r="O76" s="63"/>
      <c r="P76" s="63">
        <f t="shared" si="13"/>
        <v>199151.55</v>
      </c>
      <c r="Q76" s="64">
        <f t="shared" si="14"/>
        <v>848.45000000001164</v>
      </c>
    </row>
    <row r="77" spans="1:17" ht="14.25" customHeight="1">
      <c r="A77" s="60" t="s">
        <v>187</v>
      </c>
      <c r="B77" s="48" t="s">
        <v>188</v>
      </c>
      <c r="C77" s="67">
        <v>415689</v>
      </c>
      <c r="D77" s="62"/>
      <c r="E77" s="62"/>
      <c r="F77" s="63"/>
      <c r="G77" s="63"/>
      <c r="H77" s="63"/>
      <c r="I77" s="63"/>
      <c r="J77" s="63">
        <v>413366.39</v>
      </c>
      <c r="K77" s="63"/>
      <c r="L77" s="63"/>
      <c r="M77" s="63"/>
      <c r="N77" s="63"/>
      <c r="O77" s="63"/>
      <c r="P77" s="63">
        <f t="shared" si="13"/>
        <v>413366.39</v>
      </c>
      <c r="Q77" s="64">
        <f t="shared" si="14"/>
        <v>2322.609999999986</v>
      </c>
    </row>
    <row r="78" spans="1:17" ht="14.25" customHeight="1">
      <c r="A78" s="60" t="s">
        <v>189</v>
      </c>
      <c r="B78" s="48" t="s">
        <v>190</v>
      </c>
      <c r="C78" s="67">
        <v>300000</v>
      </c>
      <c r="D78" s="62"/>
      <c r="E78" s="62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>
        <f t="shared" si="13"/>
        <v>0</v>
      </c>
      <c r="Q78" s="64">
        <f t="shared" si="14"/>
        <v>300000</v>
      </c>
    </row>
    <row r="79" spans="1:17" ht="14.25" customHeight="1">
      <c r="A79" s="60" t="s">
        <v>191</v>
      </c>
      <c r="B79" s="48" t="s">
        <v>192</v>
      </c>
      <c r="C79" s="67">
        <v>50000</v>
      </c>
      <c r="D79" s="62"/>
      <c r="E79" s="62"/>
      <c r="F79" s="63"/>
      <c r="G79" s="63"/>
      <c r="H79" s="63"/>
      <c r="I79" s="63"/>
      <c r="J79" s="63">
        <v>6900</v>
      </c>
      <c r="K79" s="63"/>
      <c r="L79" s="63"/>
      <c r="M79" s="63"/>
      <c r="N79" s="63"/>
      <c r="O79" s="63"/>
      <c r="P79" s="63">
        <f t="shared" si="13"/>
        <v>6900</v>
      </c>
      <c r="Q79" s="64">
        <f t="shared" si="14"/>
        <v>43100</v>
      </c>
    </row>
    <row r="80" spans="1:17" ht="14.25" customHeight="1">
      <c r="A80" s="60" t="s">
        <v>193</v>
      </c>
      <c r="B80" s="48" t="s">
        <v>194</v>
      </c>
      <c r="C80" s="67">
        <v>50000</v>
      </c>
      <c r="D80" s="62"/>
      <c r="E80" s="62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>
        <f t="shared" si="13"/>
        <v>0</v>
      </c>
      <c r="Q80" s="64">
        <f t="shared" si="14"/>
        <v>50000</v>
      </c>
    </row>
    <row r="81" spans="1:17" ht="24" customHeight="1">
      <c r="A81" s="60" t="s">
        <v>197</v>
      </c>
      <c r="B81" s="54" t="s">
        <v>198</v>
      </c>
      <c r="C81" s="67">
        <v>170000</v>
      </c>
      <c r="D81" s="62"/>
      <c r="E81" s="62"/>
      <c r="F81" s="63"/>
      <c r="G81" s="63"/>
      <c r="H81" s="63"/>
      <c r="I81" s="62"/>
      <c r="J81" s="62"/>
      <c r="K81" s="62"/>
      <c r="L81" s="62"/>
      <c r="M81" s="63"/>
      <c r="N81" s="63"/>
      <c r="O81" s="63"/>
      <c r="P81" s="63">
        <f t="shared" si="13"/>
        <v>0</v>
      </c>
      <c r="Q81" s="64">
        <f t="shared" si="14"/>
        <v>170000</v>
      </c>
    </row>
    <row r="82" spans="1:17" ht="14.25" customHeight="1">
      <c r="A82" s="60" t="s">
        <v>201</v>
      </c>
      <c r="B82" s="48" t="s">
        <v>202</v>
      </c>
      <c r="C82" s="67">
        <v>100000</v>
      </c>
      <c r="D82" s="62"/>
      <c r="E82" s="62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>
        <f t="shared" si="13"/>
        <v>0</v>
      </c>
      <c r="Q82" s="64">
        <f t="shared" si="14"/>
        <v>100000</v>
      </c>
    </row>
    <row r="83" spans="1:17" ht="14.25" customHeight="1">
      <c r="A83" s="60" t="s">
        <v>203</v>
      </c>
      <c r="B83" s="48" t="s">
        <v>204</v>
      </c>
      <c r="C83" s="67">
        <v>100000</v>
      </c>
      <c r="D83" s="62"/>
      <c r="E83" s="62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>
        <f t="shared" si="13"/>
        <v>0</v>
      </c>
      <c r="Q83" s="64">
        <f t="shared" si="14"/>
        <v>100000</v>
      </c>
    </row>
    <row r="84" spans="1:17" ht="14.25" customHeight="1">
      <c r="A84" s="60" t="s">
        <v>205</v>
      </c>
      <c r="B84" s="48" t="s">
        <v>206</v>
      </c>
      <c r="C84" s="67">
        <v>650000</v>
      </c>
      <c r="D84" s="62"/>
      <c r="E84" s="62"/>
      <c r="F84" s="63"/>
      <c r="G84" s="63"/>
      <c r="H84" s="63"/>
      <c r="I84" s="63"/>
      <c r="J84" s="63">
        <v>111583.69</v>
      </c>
      <c r="K84" s="63"/>
      <c r="L84" s="63"/>
      <c r="M84" s="63"/>
      <c r="N84" s="63"/>
      <c r="O84" s="63"/>
      <c r="P84" s="63">
        <f t="shared" si="13"/>
        <v>111583.69</v>
      </c>
      <c r="Q84" s="64">
        <f t="shared" si="14"/>
        <v>538416.31000000006</v>
      </c>
    </row>
    <row r="85" spans="1:17" ht="14.25" customHeight="1">
      <c r="A85" s="60" t="s">
        <v>207</v>
      </c>
      <c r="B85" s="48" t="s">
        <v>208</v>
      </c>
      <c r="C85" s="67">
        <v>100000</v>
      </c>
      <c r="D85" s="62"/>
      <c r="E85" s="62"/>
      <c r="F85" s="63"/>
      <c r="G85" s="63"/>
      <c r="H85" s="63"/>
      <c r="I85" s="63"/>
      <c r="J85" s="63">
        <v>1194.51</v>
      </c>
      <c r="K85" s="63"/>
      <c r="L85" s="63"/>
      <c r="M85" s="63"/>
      <c r="N85" s="63"/>
      <c r="O85" s="63"/>
      <c r="P85" s="63">
        <f t="shared" si="13"/>
        <v>1194.51</v>
      </c>
      <c r="Q85" s="64">
        <f t="shared" si="14"/>
        <v>98805.49</v>
      </c>
    </row>
    <row r="86" spans="1:17" ht="14.25" customHeight="1">
      <c r="A86" s="60" t="s">
        <v>209</v>
      </c>
      <c r="B86" s="48" t="s">
        <v>210</v>
      </c>
      <c r="C86" s="67">
        <v>100110</v>
      </c>
      <c r="D86" s="62"/>
      <c r="E86" s="62"/>
      <c r="F86" s="63"/>
      <c r="G86" s="63"/>
      <c r="H86" s="63"/>
      <c r="I86" s="63"/>
      <c r="J86" s="63">
        <v>49548.74</v>
      </c>
      <c r="K86" s="63"/>
      <c r="L86" s="63"/>
      <c r="M86" s="63"/>
      <c r="N86" s="63"/>
      <c r="O86" s="63"/>
      <c r="P86" s="63">
        <f t="shared" si="13"/>
        <v>49548.74</v>
      </c>
      <c r="Q86" s="64">
        <f t="shared" si="14"/>
        <v>50561.26</v>
      </c>
    </row>
    <row r="87" spans="1:17" ht="14.25" customHeight="1">
      <c r="A87" s="60" t="s">
        <v>213</v>
      </c>
      <c r="B87" s="48" t="s">
        <v>214</v>
      </c>
      <c r="C87" s="67">
        <v>50000</v>
      </c>
      <c r="D87" s="62"/>
      <c r="E87" s="62"/>
      <c r="F87" s="63"/>
      <c r="G87" s="63"/>
      <c r="H87" s="63"/>
      <c r="I87" s="63"/>
      <c r="J87" s="63">
        <v>3365</v>
      </c>
      <c r="K87" s="63"/>
      <c r="L87" s="63"/>
      <c r="M87" s="63"/>
      <c r="N87" s="63"/>
      <c r="O87" s="63"/>
      <c r="P87" s="63">
        <f t="shared" si="13"/>
        <v>3365</v>
      </c>
      <c r="Q87" s="64">
        <f t="shared" si="14"/>
        <v>46635</v>
      </c>
    </row>
    <row r="88" spans="1:17" ht="14.25" customHeight="1">
      <c r="A88" s="60" t="s">
        <v>215</v>
      </c>
      <c r="B88" s="48" t="s">
        <v>216</v>
      </c>
      <c r="C88" s="67">
        <v>12000</v>
      </c>
      <c r="D88" s="62"/>
      <c r="E88" s="62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>
        <f t="shared" si="13"/>
        <v>0</v>
      </c>
      <c r="Q88" s="64">
        <f t="shared" si="14"/>
        <v>12000</v>
      </c>
    </row>
    <row r="89" spans="1:17" ht="14.25" customHeight="1">
      <c r="A89" s="60" t="s">
        <v>217</v>
      </c>
      <c r="B89" s="48" t="s">
        <v>218</v>
      </c>
      <c r="C89" s="67">
        <v>50000</v>
      </c>
      <c r="D89" s="62"/>
      <c r="E89" s="62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>
        <f t="shared" si="13"/>
        <v>0</v>
      </c>
      <c r="Q89" s="64">
        <f t="shared" si="14"/>
        <v>50000</v>
      </c>
    </row>
    <row r="90" spans="1:17" ht="14.25" customHeight="1">
      <c r="A90" s="60" t="s">
        <v>219</v>
      </c>
      <c r="B90" s="48" t="s">
        <v>220</v>
      </c>
      <c r="C90" s="67">
        <v>30000</v>
      </c>
      <c r="D90" s="62"/>
      <c r="E90" s="62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>
        <f t="shared" si="13"/>
        <v>0</v>
      </c>
      <c r="Q90" s="64">
        <f t="shared" si="14"/>
        <v>30000</v>
      </c>
    </row>
    <row r="91" spans="1:17" ht="14.25" customHeight="1">
      <c r="A91" s="60" t="s">
        <v>221</v>
      </c>
      <c r="B91" s="48" t="s">
        <v>222</v>
      </c>
      <c r="C91" s="67">
        <v>50000</v>
      </c>
      <c r="D91" s="62"/>
      <c r="E91" s="62"/>
      <c r="F91" s="63"/>
      <c r="G91" s="63"/>
      <c r="H91" s="63"/>
      <c r="I91" s="63"/>
      <c r="J91" s="63">
        <v>2832.7</v>
      </c>
      <c r="K91" s="63"/>
      <c r="L91" s="63"/>
      <c r="M91" s="63"/>
      <c r="N91" s="63"/>
      <c r="O91" s="63"/>
      <c r="P91" s="63">
        <f t="shared" si="13"/>
        <v>2832.7</v>
      </c>
      <c r="Q91" s="64">
        <f t="shared" si="14"/>
        <v>47167.3</v>
      </c>
    </row>
    <row r="92" spans="1:17" ht="14.25" customHeight="1">
      <c r="A92" s="60" t="s">
        <v>223</v>
      </c>
      <c r="B92" s="48" t="s">
        <v>224</v>
      </c>
      <c r="C92" s="67">
        <v>50000</v>
      </c>
      <c r="D92" s="62"/>
      <c r="E92" s="62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>
        <f t="shared" si="13"/>
        <v>0</v>
      </c>
      <c r="Q92" s="64">
        <f t="shared" si="14"/>
        <v>50000</v>
      </c>
    </row>
    <row r="93" spans="1:17" ht="14.25" customHeight="1">
      <c r="A93" s="60" t="s">
        <v>225</v>
      </c>
      <c r="B93" s="48" t="s">
        <v>226</v>
      </c>
      <c r="C93" s="67">
        <v>455</v>
      </c>
      <c r="D93" s="62"/>
      <c r="E93" s="62"/>
      <c r="F93" s="63"/>
      <c r="G93" s="63"/>
      <c r="H93" s="63"/>
      <c r="I93" s="63"/>
      <c r="J93" s="63">
        <v>455</v>
      </c>
      <c r="K93" s="63"/>
      <c r="L93" s="63"/>
      <c r="M93" s="63"/>
      <c r="N93" s="63"/>
      <c r="O93" s="63"/>
      <c r="P93" s="63">
        <f t="shared" si="13"/>
        <v>455</v>
      </c>
      <c r="Q93" s="64">
        <f t="shared" si="14"/>
        <v>0</v>
      </c>
    </row>
    <row r="94" spans="1:17" ht="14.25" customHeight="1">
      <c r="A94" s="60" t="s">
        <v>229</v>
      </c>
      <c r="B94" s="48" t="s">
        <v>230</v>
      </c>
      <c r="C94" s="67">
        <v>0</v>
      </c>
      <c r="D94" s="62"/>
      <c r="E94" s="62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>
        <f t="shared" si="13"/>
        <v>0</v>
      </c>
      <c r="Q94" s="64">
        <f t="shared" si="14"/>
        <v>0</v>
      </c>
    </row>
    <row r="95" spans="1:17" ht="14.25" customHeight="1">
      <c r="A95" s="60" t="s">
        <v>231</v>
      </c>
      <c r="B95" s="48" t="s">
        <v>232</v>
      </c>
      <c r="C95" s="67">
        <v>79491</v>
      </c>
      <c r="D95" s="62"/>
      <c r="E95" s="62"/>
      <c r="F95" s="63"/>
      <c r="G95" s="63">
        <v>52122.96</v>
      </c>
      <c r="H95" s="63"/>
      <c r="I95" s="63"/>
      <c r="J95" s="63">
        <v>27367.4</v>
      </c>
      <c r="K95" s="63"/>
      <c r="L95" s="63"/>
      <c r="M95" s="63"/>
      <c r="N95" s="63"/>
      <c r="O95" s="63"/>
      <c r="P95" s="63">
        <f t="shared" si="13"/>
        <v>79490.36</v>
      </c>
      <c r="Q95" s="64">
        <f t="shared" si="14"/>
        <v>0.63999999999941792</v>
      </c>
    </row>
    <row r="96" spans="1:17" ht="14.25" customHeight="1">
      <c r="A96" s="60" t="s">
        <v>233</v>
      </c>
      <c r="B96" s="48" t="s">
        <v>234</v>
      </c>
      <c r="C96" s="67">
        <v>0</v>
      </c>
      <c r="D96" s="62"/>
      <c r="E96" s="62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>
        <f t="shared" si="13"/>
        <v>0</v>
      </c>
      <c r="Q96" s="64">
        <f t="shared" si="14"/>
        <v>0</v>
      </c>
    </row>
    <row r="97" spans="1:17" ht="14.25" customHeight="1">
      <c r="A97" s="60" t="s">
        <v>235</v>
      </c>
      <c r="B97" s="48" t="s">
        <v>341</v>
      </c>
      <c r="C97" s="67">
        <v>38000</v>
      </c>
      <c r="D97" s="62"/>
      <c r="E97" s="62"/>
      <c r="F97" s="63"/>
      <c r="G97" s="63"/>
      <c r="H97" s="63"/>
      <c r="I97" s="63"/>
      <c r="J97" s="63">
        <v>11207.94</v>
      </c>
      <c r="K97" s="63"/>
      <c r="L97" s="63"/>
      <c r="M97" s="63"/>
      <c r="N97" s="63"/>
      <c r="O97" s="63"/>
      <c r="P97" s="63">
        <f t="shared" si="13"/>
        <v>11207.94</v>
      </c>
      <c r="Q97" s="64">
        <f t="shared" si="14"/>
        <v>26792.059999999998</v>
      </c>
    </row>
    <row r="98" spans="1:17" ht="14.25" customHeight="1">
      <c r="A98" s="60" t="s">
        <v>239</v>
      </c>
      <c r="B98" s="48" t="s">
        <v>240</v>
      </c>
      <c r="C98" s="67">
        <v>5088345</v>
      </c>
      <c r="D98" s="62">
        <v>479407</v>
      </c>
      <c r="E98" s="62">
        <v>557408</v>
      </c>
      <c r="F98" s="63"/>
      <c r="G98" s="63"/>
      <c r="H98" s="63"/>
      <c r="I98" s="63"/>
      <c r="J98" s="63">
        <v>2801529.74</v>
      </c>
      <c r="K98" s="63"/>
      <c r="L98" s="63"/>
      <c r="M98" s="63"/>
      <c r="N98" s="63"/>
      <c r="O98" s="63"/>
      <c r="P98" s="63">
        <f t="shared" si="13"/>
        <v>3838344.74</v>
      </c>
      <c r="Q98" s="64">
        <f t="shared" si="14"/>
        <v>1250000.2599999998</v>
      </c>
    </row>
    <row r="99" spans="1:17" ht="14.25" customHeight="1">
      <c r="A99" s="60" t="s">
        <v>241</v>
      </c>
      <c r="B99" s="48" t="s">
        <v>242</v>
      </c>
      <c r="C99" s="67">
        <v>1175000</v>
      </c>
      <c r="D99" s="62"/>
      <c r="E99" s="62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>
        <f t="shared" si="13"/>
        <v>0</v>
      </c>
      <c r="Q99" s="64">
        <f t="shared" si="14"/>
        <v>1175000</v>
      </c>
    </row>
    <row r="100" spans="1:17" ht="14.25" customHeight="1">
      <c r="A100" s="60" t="s">
        <v>243</v>
      </c>
      <c r="B100" s="48" t="s">
        <v>244</v>
      </c>
      <c r="C100" s="67">
        <v>5625</v>
      </c>
      <c r="D100" s="62"/>
      <c r="E100" s="62"/>
      <c r="F100" s="63"/>
      <c r="G100" s="63"/>
      <c r="H100" s="63"/>
      <c r="I100" s="63"/>
      <c r="J100" s="63">
        <v>5625</v>
      </c>
      <c r="K100" s="63"/>
      <c r="L100" s="63"/>
      <c r="M100" s="63"/>
      <c r="N100" s="63"/>
      <c r="O100" s="63"/>
      <c r="P100" s="63">
        <f t="shared" si="13"/>
        <v>5625</v>
      </c>
      <c r="Q100" s="64">
        <f t="shared" si="14"/>
        <v>0</v>
      </c>
    </row>
    <row r="101" spans="1:17" ht="14.25" customHeight="1">
      <c r="A101" s="60" t="s">
        <v>245</v>
      </c>
      <c r="B101" s="48" t="s">
        <v>246</v>
      </c>
      <c r="C101" s="67">
        <v>3000</v>
      </c>
      <c r="D101" s="62"/>
      <c r="E101" s="62"/>
      <c r="F101" s="63"/>
      <c r="G101" s="63"/>
      <c r="H101" s="63"/>
      <c r="I101" s="63"/>
      <c r="J101" s="63">
        <v>3000</v>
      </c>
      <c r="K101" s="63"/>
      <c r="L101" s="63"/>
      <c r="M101" s="63"/>
      <c r="N101" s="63"/>
      <c r="O101" s="63"/>
      <c r="P101" s="63">
        <f t="shared" si="13"/>
        <v>3000</v>
      </c>
      <c r="Q101" s="64">
        <f t="shared" si="14"/>
        <v>0</v>
      </c>
    </row>
    <row r="102" spans="1:17" ht="14.25" customHeight="1">
      <c r="A102" s="60" t="s">
        <v>247</v>
      </c>
      <c r="B102" s="48" t="s">
        <v>248</v>
      </c>
      <c r="C102" s="67">
        <v>1562</v>
      </c>
      <c r="D102" s="62"/>
      <c r="E102" s="62"/>
      <c r="F102" s="63"/>
      <c r="G102" s="63"/>
      <c r="H102" s="63"/>
      <c r="I102" s="63"/>
      <c r="J102" s="63">
        <v>1562</v>
      </c>
      <c r="K102" s="63"/>
      <c r="L102" s="63"/>
      <c r="M102" s="63"/>
      <c r="N102" s="63"/>
      <c r="O102" s="63"/>
      <c r="P102" s="63">
        <f t="shared" si="13"/>
        <v>1562</v>
      </c>
      <c r="Q102" s="64">
        <f t="shared" si="14"/>
        <v>0</v>
      </c>
    </row>
    <row r="103" spans="1:17" ht="14.25" customHeight="1">
      <c r="A103" s="60" t="s">
        <v>249</v>
      </c>
      <c r="B103" s="48" t="s">
        <v>250</v>
      </c>
      <c r="C103" s="67">
        <v>1210</v>
      </c>
      <c r="D103" s="62"/>
      <c r="E103" s="62"/>
      <c r="F103" s="63"/>
      <c r="G103" s="63"/>
      <c r="H103" s="63"/>
      <c r="I103" s="63"/>
      <c r="J103" s="63">
        <v>1208.5999999999999</v>
      </c>
      <c r="K103" s="63"/>
      <c r="L103" s="63"/>
      <c r="M103" s="63"/>
      <c r="N103" s="63"/>
      <c r="O103" s="63"/>
      <c r="P103" s="63">
        <f t="shared" si="13"/>
        <v>1208.5999999999999</v>
      </c>
      <c r="Q103" s="64">
        <f t="shared" si="14"/>
        <v>1.4000000000000909</v>
      </c>
    </row>
    <row r="104" spans="1:17" ht="14.25" customHeight="1">
      <c r="A104" s="60" t="s">
        <v>251</v>
      </c>
      <c r="B104" s="48" t="s">
        <v>252</v>
      </c>
      <c r="C104" s="67">
        <v>0</v>
      </c>
      <c r="D104" s="62"/>
      <c r="E104" s="62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>
        <f t="shared" si="13"/>
        <v>0</v>
      </c>
      <c r="Q104" s="64">
        <f t="shared" si="14"/>
        <v>0</v>
      </c>
    </row>
    <row r="105" spans="1:17" ht="14.25" customHeight="1">
      <c r="A105" s="60" t="s">
        <v>253</v>
      </c>
      <c r="B105" s="48" t="s">
        <v>254</v>
      </c>
      <c r="C105" s="67">
        <v>735</v>
      </c>
      <c r="D105" s="62"/>
      <c r="E105" s="62"/>
      <c r="F105" s="63"/>
      <c r="G105" s="63"/>
      <c r="H105" s="63"/>
      <c r="I105" s="63"/>
      <c r="J105" s="63">
        <v>735</v>
      </c>
      <c r="K105" s="63"/>
      <c r="L105" s="63"/>
      <c r="M105" s="63"/>
      <c r="N105" s="63"/>
      <c r="O105" s="63"/>
      <c r="P105" s="63">
        <f t="shared" si="13"/>
        <v>735</v>
      </c>
      <c r="Q105" s="64">
        <f t="shared" si="14"/>
        <v>0</v>
      </c>
    </row>
    <row r="106" spans="1:17" ht="15" customHeight="1">
      <c r="A106" s="60" t="s">
        <v>257</v>
      </c>
      <c r="B106" s="48" t="s">
        <v>258</v>
      </c>
      <c r="C106" s="67">
        <v>63875</v>
      </c>
      <c r="D106" s="62"/>
      <c r="E106" s="62"/>
      <c r="F106" s="63"/>
      <c r="G106" s="63"/>
      <c r="H106" s="63"/>
      <c r="I106" s="63"/>
      <c r="J106" s="63">
        <v>63871.3</v>
      </c>
      <c r="K106" s="63"/>
      <c r="L106" s="63"/>
      <c r="M106" s="63"/>
      <c r="N106" s="63"/>
      <c r="O106" s="63"/>
      <c r="P106" s="63">
        <f t="shared" si="13"/>
        <v>63871.3</v>
      </c>
      <c r="Q106" s="64">
        <f t="shared" si="14"/>
        <v>3.6999999999970896</v>
      </c>
    </row>
    <row r="107" spans="1:17" ht="15" customHeight="1">
      <c r="A107" s="60" t="s">
        <v>259</v>
      </c>
      <c r="B107" s="48" t="s">
        <v>260</v>
      </c>
      <c r="C107" s="67">
        <v>0</v>
      </c>
      <c r="D107" s="62"/>
      <c r="E107" s="62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>
        <f t="shared" si="13"/>
        <v>0</v>
      </c>
      <c r="Q107" s="64">
        <f t="shared" si="14"/>
        <v>0</v>
      </c>
    </row>
    <row r="108" spans="1:17" ht="15" customHeight="1">
      <c r="A108" s="60" t="s">
        <v>261</v>
      </c>
      <c r="B108" s="48" t="s">
        <v>262</v>
      </c>
      <c r="C108" s="67">
        <v>225</v>
      </c>
      <c r="D108" s="62"/>
      <c r="E108" s="62"/>
      <c r="F108" s="63"/>
      <c r="G108" s="63"/>
      <c r="H108" s="63"/>
      <c r="I108" s="63"/>
      <c r="J108" s="63">
        <v>225</v>
      </c>
      <c r="K108" s="63"/>
      <c r="L108" s="63"/>
      <c r="M108" s="63"/>
      <c r="N108" s="63"/>
      <c r="O108" s="63"/>
      <c r="P108" s="63">
        <f t="shared" si="13"/>
        <v>225</v>
      </c>
      <c r="Q108" s="64">
        <f t="shared" si="14"/>
        <v>0</v>
      </c>
    </row>
    <row r="109" spans="1:17" ht="15" customHeight="1">
      <c r="A109" s="60" t="s">
        <v>265</v>
      </c>
      <c r="B109" s="48" t="s">
        <v>266</v>
      </c>
      <c r="C109" s="67">
        <v>892000</v>
      </c>
      <c r="D109" s="62"/>
      <c r="E109" s="62"/>
      <c r="F109" s="63"/>
      <c r="G109" s="63"/>
      <c r="H109" s="63"/>
      <c r="I109" s="63"/>
      <c r="J109" s="63">
        <v>151693.57</v>
      </c>
      <c r="K109" s="63"/>
      <c r="L109" s="63"/>
      <c r="M109" s="63"/>
      <c r="N109" s="63"/>
      <c r="O109" s="63"/>
      <c r="P109" s="63">
        <f t="shared" si="13"/>
        <v>151693.57</v>
      </c>
      <c r="Q109" s="64">
        <f t="shared" si="14"/>
        <v>740306.42999999993</v>
      </c>
    </row>
    <row r="110" spans="1:17" ht="24" customHeight="1">
      <c r="A110" s="60" t="s">
        <v>267</v>
      </c>
      <c r="B110" s="54" t="s">
        <v>268</v>
      </c>
      <c r="C110" s="67">
        <v>994489</v>
      </c>
      <c r="D110" s="62"/>
      <c r="E110" s="62"/>
      <c r="F110" s="63"/>
      <c r="G110" s="63"/>
      <c r="H110" s="63"/>
      <c r="I110" s="63"/>
      <c r="J110" s="63">
        <v>201129.29</v>
      </c>
      <c r="K110" s="63"/>
      <c r="L110" s="63"/>
      <c r="M110" s="63"/>
      <c r="N110" s="63"/>
      <c r="O110" s="63"/>
      <c r="P110" s="63">
        <f t="shared" si="13"/>
        <v>201129.29</v>
      </c>
      <c r="Q110" s="64">
        <f t="shared" si="14"/>
        <v>793359.71</v>
      </c>
    </row>
    <row r="111" spans="1:17" ht="16.5" customHeight="1">
      <c r="A111" s="60" t="s">
        <v>269</v>
      </c>
      <c r="B111" s="54" t="s">
        <v>270</v>
      </c>
      <c r="C111" s="67">
        <v>15059</v>
      </c>
      <c r="D111" s="62"/>
      <c r="E111" s="62"/>
      <c r="F111" s="63"/>
      <c r="G111" s="63">
        <v>682.17</v>
      </c>
      <c r="H111" s="63"/>
      <c r="I111" s="63"/>
      <c r="J111" s="63">
        <v>14375.96</v>
      </c>
      <c r="K111" s="63"/>
      <c r="L111" s="63"/>
      <c r="M111" s="63"/>
      <c r="N111" s="63"/>
      <c r="O111" s="63"/>
      <c r="P111" s="63">
        <f t="shared" si="13"/>
        <v>15058.13</v>
      </c>
      <c r="Q111" s="64">
        <f t="shared" si="14"/>
        <v>0.87000000000080036</v>
      </c>
    </row>
    <row r="112" spans="1:17" ht="30" hidden="1" customHeight="1">
      <c r="A112" s="60" t="s">
        <v>271</v>
      </c>
      <c r="B112" s="54" t="s">
        <v>272</v>
      </c>
      <c r="C112" s="67">
        <v>0</v>
      </c>
      <c r="D112" s="62"/>
      <c r="E112" s="62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>
        <f t="shared" si="13"/>
        <v>0</v>
      </c>
      <c r="Q112" s="64">
        <f t="shared" si="14"/>
        <v>0</v>
      </c>
    </row>
    <row r="113" spans="1:17" ht="12.75" customHeight="1">
      <c r="A113" s="60" t="s">
        <v>273</v>
      </c>
      <c r="B113" s="54" t="s">
        <v>274</v>
      </c>
      <c r="C113" s="67">
        <v>10000</v>
      </c>
      <c r="D113" s="62"/>
      <c r="E113" s="62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>
        <f t="shared" si="13"/>
        <v>0</v>
      </c>
      <c r="Q113" s="64">
        <f t="shared" si="14"/>
        <v>10000</v>
      </c>
    </row>
    <row r="114" spans="1:17" ht="12.75" customHeight="1">
      <c r="A114" s="60" t="s">
        <v>275</v>
      </c>
      <c r="B114" s="48" t="s">
        <v>276</v>
      </c>
      <c r="C114" s="67">
        <v>400000</v>
      </c>
      <c r="D114" s="62"/>
      <c r="E114" s="62"/>
      <c r="F114" s="63"/>
      <c r="G114" s="63"/>
      <c r="H114" s="63"/>
      <c r="I114" s="63"/>
      <c r="J114" s="63">
        <v>58037.35</v>
      </c>
      <c r="K114" s="63"/>
      <c r="L114" s="63"/>
      <c r="M114" s="63"/>
      <c r="N114" s="63"/>
      <c r="O114" s="63"/>
      <c r="P114" s="63">
        <f t="shared" si="13"/>
        <v>58037.35</v>
      </c>
      <c r="Q114" s="64">
        <f t="shared" si="14"/>
        <v>341962.65</v>
      </c>
    </row>
    <row r="115" spans="1:17" ht="12.75" customHeight="1">
      <c r="A115" s="60" t="s">
        <v>277</v>
      </c>
      <c r="B115" s="48" t="s">
        <v>278</v>
      </c>
      <c r="C115" s="67">
        <v>494297</v>
      </c>
      <c r="D115" s="62"/>
      <c r="E115" s="62"/>
      <c r="F115" s="63"/>
      <c r="G115" s="63"/>
      <c r="H115" s="63"/>
      <c r="I115" s="63"/>
      <c r="J115" s="63">
        <v>344296.91</v>
      </c>
      <c r="K115" s="63"/>
      <c r="L115" s="63"/>
      <c r="M115" s="63"/>
      <c r="N115" s="63"/>
      <c r="O115" s="63"/>
      <c r="P115" s="63">
        <f t="shared" si="13"/>
        <v>344296.91</v>
      </c>
      <c r="Q115" s="64">
        <f t="shared" si="14"/>
        <v>150000.09000000003</v>
      </c>
    </row>
    <row r="116" spans="1:17" ht="12.75" customHeight="1">
      <c r="A116" s="60" t="s">
        <v>279</v>
      </c>
      <c r="B116" s="48" t="s">
        <v>280</v>
      </c>
      <c r="C116" s="67">
        <v>60897</v>
      </c>
      <c r="D116" s="62"/>
      <c r="E116" s="62"/>
      <c r="F116" s="63"/>
      <c r="G116" s="63">
        <v>4282.4799999999996</v>
      </c>
      <c r="H116" s="63"/>
      <c r="I116" s="63"/>
      <c r="J116" s="63">
        <v>56611.98</v>
      </c>
      <c r="K116" s="63"/>
      <c r="L116" s="63"/>
      <c r="M116" s="63"/>
      <c r="N116" s="63"/>
      <c r="O116" s="63"/>
      <c r="P116" s="63">
        <f t="shared" si="13"/>
        <v>60894.460000000006</v>
      </c>
      <c r="Q116" s="64">
        <f t="shared" si="14"/>
        <v>2.5399999999935972</v>
      </c>
    </row>
    <row r="117" spans="1:17" ht="12.75" customHeight="1">
      <c r="A117" s="60" t="s">
        <v>281</v>
      </c>
      <c r="B117" s="48" t="s">
        <v>282</v>
      </c>
      <c r="C117" s="67">
        <v>217805</v>
      </c>
      <c r="D117" s="62"/>
      <c r="E117" s="62"/>
      <c r="F117" s="63"/>
      <c r="G117" s="63"/>
      <c r="H117" s="63"/>
      <c r="I117" s="63"/>
      <c r="J117" s="63">
        <v>13522.35</v>
      </c>
      <c r="K117" s="63"/>
      <c r="L117" s="63"/>
      <c r="M117" s="63"/>
      <c r="N117" s="63"/>
      <c r="O117" s="63"/>
      <c r="P117" s="63">
        <f>SUM(D117:O117)</f>
        <v>13522.35</v>
      </c>
      <c r="Q117" s="64">
        <f t="shared" si="14"/>
        <v>204282.65</v>
      </c>
    </row>
    <row r="118" spans="1:17" ht="12.75" customHeight="1">
      <c r="A118" s="60" t="s">
        <v>283</v>
      </c>
      <c r="B118" s="48" t="s">
        <v>342</v>
      </c>
      <c r="C118" s="67">
        <v>4307</v>
      </c>
      <c r="D118" s="63"/>
      <c r="E118" s="63"/>
      <c r="F118" s="63"/>
      <c r="G118" s="63"/>
      <c r="H118" s="63"/>
      <c r="I118" s="63"/>
      <c r="J118" s="63">
        <v>4307</v>
      </c>
      <c r="K118" s="63"/>
      <c r="L118" s="63"/>
      <c r="M118" s="63"/>
      <c r="N118" s="63"/>
      <c r="O118" s="63"/>
      <c r="P118" s="63">
        <f>SUM(D118:O118)</f>
        <v>4307</v>
      </c>
      <c r="Q118" s="64">
        <f t="shared" si="14"/>
        <v>0</v>
      </c>
    </row>
    <row r="119" spans="1:17" ht="12.75" customHeight="1">
      <c r="A119" s="60" t="s">
        <v>285</v>
      </c>
      <c r="B119" s="48" t="s">
        <v>286</v>
      </c>
      <c r="C119" s="67">
        <v>2880</v>
      </c>
      <c r="D119" s="63"/>
      <c r="E119" s="63"/>
      <c r="F119" s="63"/>
      <c r="G119" s="63"/>
      <c r="H119" s="63"/>
      <c r="I119" s="63"/>
      <c r="J119" s="63">
        <v>2879.17</v>
      </c>
      <c r="K119" s="63"/>
      <c r="L119" s="63"/>
      <c r="M119" s="63"/>
      <c r="N119" s="63"/>
      <c r="O119" s="63"/>
      <c r="P119" s="63">
        <f>SUM(D119:O119)</f>
        <v>2879.17</v>
      </c>
      <c r="Q119" s="64">
        <f t="shared" si="14"/>
        <v>0.82999999999992724</v>
      </c>
    </row>
    <row r="120" spans="1:17" ht="15.75" customHeight="1">
      <c r="A120" s="57"/>
      <c r="B120" s="58" t="s">
        <v>336</v>
      </c>
      <c r="C120" s="59">
        <f>SUM(C69:C119)</f>
        <v>13437524</v>
      </c>
      <c r="D120" s="65">
        <f t="shared" ref="D120:O120" si="15">SUM(D69:D117)</f>
        <v>479407</v>
      </c>
      <c r="E120" s="65">
        <f t="shared" si="15"/>
        <v>557408</v>
      </c>
      <c r="F120" s="65">
        <f t="shared" si="15"/>
        <v>0</v>
      </c>
      <c r="G120" s="65">
        <f t="shared" si="15"/>
        <v>57087.61</v>
      </c>
      <c r="H120" s="65">
        <f t="shared" si="15"/>
        <v>0</v>
      </c>
      <c r="I120" s="65">
        <f t="shared" si="15"/>
        <v>0</v>
      </c>
      <c r="J120" s="65">
        <f>SUM(J69:J119)</f>
        <v>4917463.04</v>
      </c>
      <c r="K120" s="65">
        <f>SUM(K69:K118)</f>
        <v>0</v>
      </c>
      <c r="L120" s="65">
        <f t="shared" si="15"/>
        <v>0</v>
      </c>
      <c r="M120" s="65">
        <f t="shared" si="15"/>
        <v>0</v>
      </c>
      <c r="N120" s="65">
        <f t="shared" si="15"/>
        <v>0</v>
      </c>
      <c r="O120" s="65">
        <f t="shared" si="15"/>
        <v>0</v>
      </c>
      <c r="P120" s="65">
        <f>SUM(P69:P119)</f>
        <v>6011365.6499999994</v>
      </c>
      <c r="Q120" s="66">
        <f>SUM(Q69:Q119)</f>
        <v>7426158.3500000015</v>
      </c>
    </row>
    <row r="121" spans="1:17" ht="13.5" customHeight="1">
      <c r="A121" s="60" t="s">
        <v>291</v>
      </c>
      <c r="B121" s="69" t="s">
        <v>292</v>
      </c>
      <c r="C121" s="61">
        <v>200000</v>
      </c>
      <c r="D121" s="62"/>
      <c r="E121" s="62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>
        <f t="shared" ref="P121:P122" si="16">SUM(D121:O121)</f>
        <v>0</v>
      </c>
      <c r="Q121" s="64">
        <f t="shared" ref="Q121:Q122" si="17">C121-P121</f>
        <v>200000</v>
      </c>
    </row>
    <row r="122" spans="1:17" ht="13.5" customHeight="1">
      <c r="A122" s="60" t="s">
        <v>293</v>
      </c>
      <c r="B122" s="69" t="s">
        <v>294</v>
      </c>
      <c r="C122" s="61">
        <v>200000</v>
      </c>
      <c r="D122" s="62"/>
      <c r="E122" s="62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>
        <f t="shared" si="16"/>
        <v>0</v>
      </c>
      <c r="Q122" s="64">
        <f t="shared" si="17"/>
        <v>200000</v>
      </c>
    </row>
    <row r="123" spans="1:17" ht="15.75" customHeight="1">
      <c r="A123" s="70"/>
      <c r="B123" s="58" t="s">
        <v>336</v>
      </c>
      <c r="C123" s="59">
        <f t="shared" ref="C123:Q123" si="18">SUM(C121:C122)</f>
        <v>400000</v>
      </c>
      <c r="D123" s="65">
        <f t="shared" si="18"/>
        <v>0</v>
      </c>
      <c r="E123" s="65">
        <f t="shared" si="18"/>
        <v>0</v>
      </c>
      <c r="F123" s="65">
        <f t="shared" si="18"/>
        <v>0</v>
      </c>
      <c r="G123" s="65">
        <f t="shared" si="18"/>
        <v>0</v>
      </c>
      <c r="H123" s="65">
        <f t="shared" si="18"/>
        <v>0</v>
      </c>
      <c r="I123" s="65">
        <f t="shared" si="18"/>
        <v>0</v>
      </c>
      <c r="J123" s="65">
        <f t="shared" si="18"/>
        <v>0</v>
      </c>
      <c r="K123" s="65">
        <f t="shared" si="18"/>
        <v>0</v>
      </c>
      <c r="L123" s="65">
        <f t="shared" si="18"/>
        <v>0</v>
      </c>
      <c r="M123" s="65">
        <f t="shared" si="18"/>
        <v>0</v>
      </c>
      <c r="N123" s="65">
        <f t="shared" si="18"/>
        <v>0</v>
      </c>
      <c r="O123" s="65">
        <f t="shared" si="18"/>
        <v>0</v>
      </c>
      <c r="P123" s="65">
        <f t="shared" si="18"/>
        <v>0</v>
      </c>
      <c r="Q123" s="66">
        <f t="shared" si="18"/>
        <v>400000</v>
      </c>
    </row>
    <row r="124" spans="1:17" ht="12.75" customHeight="1">
      <c r="A124" s="60" t="s">
        <v>299</v>
      </c>
      <c r="B124" s="69" t="s">
        <v>298</v>
      </c>
      <c r="C124" s="61">
        <v>1000000</v>
      </c>
      <c r="D124" s="62"/>
      <c r="E124" s="62">
        <v>110353.60000000001</v>
      </c>
      <c r="F124" s="63"/>
      <c r="G124" s="63"/>
      <c r="H124" s="63"/>
      <c r="I124" s="63"/>
      <c r="J124" s="63"/>
      <c r="K124" s="63">
        <v>31258.2</v>
      </c>
      <c r="L124" s="63"/>
      <c r="M124" s="63"/>
      <c r="N124" s="63"/>
      <c r="O124" s="63"/>
      <c r="P124" s="63">
        <f t="shared" ref="P124:P132" si="19">SUM(D124:O124)</f>
        <v>141611.80000000002</v>
      </c>
      <c r="Q124" s="64">
        <f t="shared" ref="Q124:Q132" si="20">C124-P124</f>
        <v>858388.2</v>
      </c>
    </row>
    <row r="125" spans="1:17" ht="12.75" customHeight="1">
      <c r="A125" s="60" t="s">
        <v>300</v>
      </c>
      <c r="B125" s="69" t="s">
        <v>301</v>
      </c>
      <c r="C125" s="61">
        <v>1055978.04</v>
      </c>
      <c r="D125" s="62"/>
      <c r="E125" s="62"/>
      <c r="F125" s="63">
        <v>1055978.04</v>
      </c>
      <c r="G125" s="63"/>
      <c r="H125" s="63"/>
      <c r="I125" s="63"/>
      <c r="J125" s="63"/>
      <c r="K125" s="63"/>
      <c r="L125" s="63"/>
      <c r="M125" s="63"/>
      <c r="N125" s="63"/>
      <c r="O125" s="63"/>
      <c r="P125" s="63">
        <f t="shared" si="19"/>
        <v>1055978.04</v>
      </c>
      <c r="Q125" s="64">
        <f t="shared" si="20"/>
        <v>0</v>
      </c>
    </row>
    <row r="126" spans="1:17" ht="12.75" customHeight="1">
      <c r="A126" s="60" t="s">
        <v>302</v>
      </c>
      <c r="B126" s="69" t="s">
        <v>303</v>
      </c>
      <c r="C126" s="61">
        <v>259721.96</v>
      </c>
      <c r="D126" s="62"/>
      <c r="E126" s="62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>
        <f t="shared" si="19"/>
        <v>0</v>
      </c>
      <c r="Q126" s="64">
        <f t="shared" si="20"/>
        <v>259721.96</v>
      </c>
    </row>
    <row r="127" spans="1:17" ht="12.75" customHeight="1">
      <c r="A127" s="60" t="s">
        <v>304</v>
      </c>
      <c r="B127" s="69" t="s">
        <v>305</v>
      </c>
      <c r="C127" s="61">
        <v>100000</v>
      </c>
      <c r="D127" s="62"/>
      <c r="E127" s="62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>
        <f t="shared" si="19"/>
        <v>0</v>
      </c>
      <c r="Q127" s="64">
        <f t="shared" si="20"/>
        <v>100000</v>
      </c>
    </row>
    <row r="128" spans="1:17" ht="12.75" customHeight="1">
      <c r="A128" s="60" t="s">
        <v>308</v>
      </c>
      <c r="B128" s="69" t="s">
        <v>309</v>
      </c>
      <c r="C128" s="61">
        <v>0</v>
      </c>
      <c r="D128" s="62"/>
      <c r="E128" s="62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>
        <f t="shared" si="19"/>
        <v>0</v>
      </c>
      <c r="Q128" s="64">
        <f t="shared" si="20"/>
        <v>0</v>
      </c>
    </row>
    <row r="129" spans="1:17" ht="12.75" customHeight="1">
      <c r="A129" s="60" t="s">
        <v>312</v>
      </c>
      <c r="B129" s="69" t="s">
        <v>313</v>
      </c>
      <c r="C129" s="61">
        <v>1750000</v>
      </c>
      <c r="D129" s="62"/>
      <c r="E129" s="62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>
        <f t="shared" si="19"/>
        <v>0</v>
      </c>
      <c r="Q129" s="64">
        <f t="shared" si="20"/>
        <v>1750000</v>
      </c>
    </row>
    <row r="130" spans="1:17" ht="12.75" customHeight="1">
      <c r="A130" s="60" t="s">
        <v>343</v>
      </c>
      <c r="B130" s="69" t="s">
        <v>344</v>
      </c>
      <c r="C130" s="61">
        <v>84300</v>
      </c>
      <c r="D130" s="62"/>
      <c r="E130" s="62"/>
      <c r="F130" s="63"/>
      <c r="G130" s="63"/>
      <c r="H130" s="63"/>
      <c r="I130" s="63"/>
      <c r="J130" s="63">
        <v>84290.02</v>
      </c>
      <c r="K130" s="63"/>
      <c r="L130" s="63"/>
      <c r="M130" s="63"/>
      <c r="N130" s="63"/>
      <c r="O130" s="63"/>
      <c r="P130" s="63">
        <f t="shared" si="19"/>
        <v>84290.02</v>
      </c>
      <c r="Q130" s="64">
        <f t="shared" si="20"/>
        <v>9.9799999999959255</v>
      </c>
    </row>
    <row r="131" spans="1:17" ht="12.75" customHeight="1">
      <c r="A131" s="60" t="s">
        <v>316</v>
      </c>
      <c r="B131" s="69" t="s">
        <v>317</v>
      </c>
      <c r="C131" s="61">
        <v>51600</v>
      </c>
      <c r="D131" s="62"/>
      <c r="E131" s="62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>
        <f t="shared" si="19"/>
        <v>0</v>
      </c>
      <c r="Q131" s="64">
        <f t="shared" si="20"/>
        <v>51600</v>
      </c>
    </row>
    <row r="132" spans="1:17" ht="12.75" customHeight="1">
      <c r="A132" s="60" t="s">
        <v>318</v>
      </c>
      <c r="B132" s="69" t="s">
        <v>345</v>
      </c>
      <c r="C132" s="61">
        <v>48400</v>
      </c>
      <c r="D132" s="63"/>
      <c r="E132" s="63"/>
      <c r="F132" s="63"/>
      <c r="G132" s="63">
        <v>48385.61</v>
      </c>
      <c r="H132" s="63"/>
      <c r="I132" s="63"/>
      <c r="J132" s="63"/>
      <c r="K132" s="63"/>
      <c r="L132" s="63"/>
      <c r="M132" s="63"/>
      <c r="N132" s="63"/>
      <c r="O132" s="63"/>
      <c r="P132" s="63">
        <f t="shared" si="19"/>
        <v>48385.61</v>
      </c>
      <c r="Q132" s="64">
        <f t="shared" si="20"/>
        <v>14.389999999999418</v>
      </c>
    </row>
    <row r="133" spans="1:17" ht="15.75" customHeight="1">
      <c r="A133" s="57"/>
      <c r="B133" s="58" t="s">
        <v>336</v>
      </c>
      <c r="C133" s="59">
        <f>SUM(C124:C132)</f>
        <v>4350000</v>
      </c>
      <c r="D133" s="65">
        <f t="shared" ref="D133:O133" si="21">SUM(D124:D131)</f>
        <v>0</v>
      </c>
      <c r="E133" s="65">
        <f t="shared" si="21"/>
        <v>110353.60000000001</v>
      </c>
      <c r="F133" s="65">
        <f t="shared" si="21"/>
        <v>1055978.04</v>
      </c>
      <c r="G133" s="65">
        <f>SUM(G124:G132)</f>
        <v>48385.61</v>
      </c>
      <c r="H133" s="65">
        <f t="shared" si="21"/>
        <v>0</v>
      </c>
      <c r="I133" s="65">
        <f t="shared" si="21"/>
        <v>0</v>
      </c>
      <c r="J133" s="65">
        <f t="shared" si="21"/>
        <v>84290.02</v>
      </c>
      <c r="K133" s="65">
        <f t="shared" si="21"/>
        <v>31258.2</v>
      </c>
      <c r="L133" s="65">
        <f t="shared" si="21"/>
        <v>0</v>
      </c>
      <c r="M133" s="65">
        <f t="shared" si="21"/>
        <v>0</v>
      </c>
      <c r="N133" s="65">
        <f t="shared" si="21"/>
        <v>0</v>
      </c>
      <c r="O133" s="65">
        <f t="shared" si="21"/>
        <v>0</v>
      </c>
      <c r="P133" s="65">
        <f>SUM(P124:P132)</f>
        <v>1330265.4700000002</v>
      </c>
      <c r="Q133" s="66">
        <f>SUM(Q124:Q132)</f>
        <v>3019734.5300000003</v>
      </c>
    </row>
    <row r="134" spans="1:17" ht="19.5" customHeight="1" thickBot="1">
      <c r="A134" s="71"/>
      <c r="B134" s="72"/>
      <c r="C134" s="73">
        <f t="shared" ref="C134:Q134" si="22">C68+C18+C120+C133+C122+C121</f>
        <v>299546892</v>
      </c>
      <c r="D134" s="74">
        <f t="shared" si="22"/>
        <v>12839120.190000001</v>
      </c>
      <c r="E134" s="74">
        <f t="shared" si="22"/>
        <v>17981613.310000002</v>
      </c>
      <c r="F134" s="74">
        <f t="shared" si="22"/>
        <v>20495615.039999999</v>
      </c>
      <c r="G134" s="74">
        <f t="shared" si="22"/>
        <v>19897738.960000001</v>
      </c>
      <c r="H134" s="74">
        <f t="shared" si="22"/>
        <v>22696219.620000001</v>
      </c>
      <c r="I134" s="74">
        <f t="shared" si="22"/>
        <v>19111516.259999998</v>
      </c>
      <c r="J134" s="74">
        <f t="shared" si="22"/>
        <v>31783753.469999999</v>
      </c>
      <c r="K134" s="74">
        <f t="shared" si="22"/>
        <v>20042446.800000001</v>
      </c>
      <c r="L134" s="74">
        <f t="shared" si="22"/>
        <v>0</v>
      </c>
      <c r="M134" s="74">
        <f t="shared" si="22"/>
        <v>0</v>
      </c>
      <c r="N134" s="74">
        <f t="shared" si="22"/>
        <v>0</v>
      </c>
      <c r="O134" s="74">
        <f t="shared" si="22"/>
        <v>0</v>
      </c>
      <c r="P134" s="74">
        <f>P68+P18+P120+P133+P122+P121</f>
        <v>164848023.64999998</v>
      </c>
      <c r="Q134" s="75">
        <f t="shared" si="22"/>
        <v>134698868.35000002</v>
      </c>
    </row>
    <row r="135" spans="1:17" ht="15.75" customHeight="1" thickTop="1">
      <c r="A135" s="76"/>
      <c r="B135" s="77"/>
      <c r="C135" s="78"/>
      <c r="D135" s="79"/>
      <c r="E135" s="79"/>
      <c r="F135" s="79"/>
      <c r="G135" s="79"/>
      <c r="H135" s="79"/>
      <c r="I135" s="79"/>
      <c r="J135" s="76"/>
      <c r="K135" s="80"/>
      <c r="L135" s="80"/>
      <c r="M135" s="80"/>
      <c r="N135" s="80"/>
      <c r="O135" s="80"/>
      <c r="P135" s="80"/>
      <c r="Q135" s="80"/>
    </row>
    <row r="136" spans="1:17" ht="15.75" customHeight="1">
      <c r="A136" s="76"/>
      <c r="B136" s="76"/>
      <c r="C136" s="76"/>
      <c r="D136" s="76"/>
      <c r="E136" s="76"/>
      <c r="F136" s="76"/>
      <c r="G136" s="76"/>
      <c r="H136" s="76"/>
      <c r="I136" s="76"/>
      <c r="J136" s="76"/>
      <c r="K136" s="80"/>
      <c r="L136" s="80"/>
      <c r="M136" s="80"/>
      <c r="N136" s="80"/>
      <c r="O136" s="80"/>
      <c r="P136" s="81"/>
      <c r="Q136" s="81"/>
    </row>
    <row r="137" spans="1:17" ht="21.75" customHeight="1">
      <c r="A137" s="76"/>
      <c r="B137" s="103" t="s">
        <v>346</v>
      </c>
      <c r="C137" s="103"/>
      <c r="D137" s="76"/>
      <c r="E137" s="76"/>
      <c r="F137" s="76"/>
      <c r="G137" s="106" t="s">
        <v>355</v>
      </c>
      <c r="H137" s="106"/>
      <c r="I137" s="20"/>
      <c r="J137" s="76"/>
      <c r="L137" s="80"/>
      <c r="M137" s="80"/>
      <c r="N137" s="80"/>
      <c r="O137" s="80"/>
      <c r="P137" s="81"/>
      <c r="Q137" s="81"/>
    </row>
    <row r="138" spans="1:17" s="53" customFormat="1" ht="15.75" customHeight="1">
      <c r="A138" s="55"/>
      <c r="B138" s="104" t="s">
        <v>347</v>
      </c>
      <c r="C138" s="104"/>
      <c r="D138" s="55"/>
      <c r="E138" s="55"/>
      <c r="F138" s="55"/>
      <c r="G138" s="107"/>
      <c r="H138" s="20"/>
      <c r="I138" s="20"/>
      <c r="J138" s="82"/>
      <c r="K138" s="83"/>
      <c r="L138" s="83"/>
      <c r="M138" s="83"/>
      <c r="N138" s="83"/>
      <c r="O138" s="83"/>
      <c r="P138" s="83"/>
      <c r="Q138" s="83"/>
    </row>
    <row r="139" spans="1:17" s="53" customFormat="1" ht="15.75" customHeight="1">
      <c r="A139" s="55"/>
      <c r="B139" s="84" t="s">
        <v>348</v>
      </c>
      <c r="C139" s="84"/>
      <c r="D139" s="55"/>
      <c r="E139" s="55"/>
      <c r="F139" s="55"/>
      <c r="G139" s="108" t="s">
        <v>356</v>
      </c>
      <c r="H139" s="108"/>
      <c r="I139" s="20"/>
      <c r="J139" s="55"/>
      <c r="K139" s="83"/>
      <c r="L139" s="83"/>
      <c r="M139" s="83"/>
      <c r="N139" s="83"/>
      <c r="O139" s="83"/>
      <c r="P139" s="85"/>
      <c r="Q139" s="83"/>
    </row>
    <row r="140" spans="1:17" s="53" customFormat="1" ht="15.75" customHeight="1">
      <c r="A140" s="55"/>
      <c r="B140" s="86" t="s">
        <v>349</v>
      </c>
      <c r="C140" s="84"/>
      <c r="D140" s="55"/>
      <c r="E140" s="55"/>
      <c r="F140" s="55"/>
      <c r="G140" s="107"/>
      <c r="H140" s="20"/>
      <c r="I140" s="20"/>
      <c r="J140" s="55"/>
      <c r="K140" s="83"/>
      <c r="L140" s="83"/>
      <c r="M140" s="83"/>
      <c r="N140" s="83"/>
      <c r="O140" s="83"/>
      <c r="P140" s="85"/>
      <c r="Q140" s="83"/>
    </row>
    <row r="141" spans="1:17" s="53" customFormat="1" ht="15.75" customHeight="1">
      <c r="B141" s="86" t="s">
        <v>350</v>
      </c>
      <c r="C141" s="87"/>
      <c r="G141" s="109" t="s">
        <v>358</v>
      </c>
      <c r="H141" s="109"/>
      <c r="I141" s="105"/>
      <c r="K141" s="88"/>
      <c r="L141" s="88"/>
      <c r="M141" s="88"/>
      <c r="N141" s="88"/>
      <c r="O141" s="88"/>
      <c r="P141" s="89"/>
      <c r="Q141" s="88"/>
    </row>
    <row r="142" spans="1:17" ht="15" customHeight="1">
      <c r="G142" s="105" t="s">
        <v>357</v>
      </c>
      <c r="H142" s="105"/>
      <c r="I142" s="105"/>
    </row>
    <row r="144" spans="1:17" ht="15" customHeight="1">
      <c r="K144" s="80"/>
    </row>
  </sheetData>
  <mergeCells count="8">
    <mergeCell ref="G137:H137"/>
    <mergeCell ref="G139:H139"/>
    <mergeCell ref="G141:H141"/>
    <mergeCell ref="A3:C3"/>
    <mergeCell ref="A4:C4"/>
    <mergeCell ref="A5:B5"/>
    <mergeCell ref="B137:C137"/>
    <mergeCell ref="B138:C138"/>
  </mergeCells>
  <pageMargins left="0" right="0" top="0.15748031496063" bottom="0.27559055118110198" header="0" footer="0"/>
  <pageSetup paperSize="5" scale="8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Ejecucion</vt:lpstr>
      <vt:lpstr>EJECUCION </vt:lpstr>
      <vt:lpstr>'EJECUCION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Thelbia Fernandez</dc:creator>
  <cp:keywords/>
  <dc:description/>
  <cp:lastModifiedBy>Alba Lisber Aquino Díaz</cp:lastModifiedBy>
  <cp:revision/>
  <dcterms:created xsi:type="dcterms:W3CDTF">2020-05-01T19:51:18Z</dcterms:created>
  <dcterms:modified xsi:type="dcterms:W3CDTF">2022-09-07T12:37:36Z</dcterms:modified>
  <cp:category/>
  <cp:contentStatus/>
</cp:coreProperties>
</file>